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Hypothèses" sheetId="2" state="visible" r:id="rId4"/>
    <sheet name="Exploitation" sheetId="3" state="visible" r:id="rId5"/>
    <sheet name="Financement" sheetId="4" state="visible" r:id="rId6"/>
    <sheet name="Indicateurs" sheetId="5" state="visible" r:id="rId7"/>
    <sheet name="Conseils" sheetId="6" state="visible" r:id="rId8"/>
    <sheet name="Source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<sst xmlns="http://schemas.openxmlformats.org/spreadsheetml/2006/main" count="1133" uniqueCount="834">
  <si>
    <t xml:space="preserve">West Coast Hospitality</t>
  </si>
  <si>
    <t xml:space="preserve">Scénario type · Hôtel-restaurant de 25 chambres</t>
  </si>
  <si>
    <t xml:space="preserve">2 à 3 étoiles, restaurant ouvert à la clientèle extérieure, petit-déjeuner, murs et fonds rachetés par deux sociétés</t>
  </si>
  <si>
    <t xml:space="preserve">Avertissement : Hypothèses illustratives, pas un conseil en investissement. Données publiques arrêtées au 12 octobre 2026. Ce fichier ne décrit aucun établissement réel ; il illustre un raisonnement à partir de ratios publics.</t>
  </si>
  <si>
    <t xml:space="preserve">Objet</t>
  </si>
  <si>
    <t xml:space="preserve">Donner un ordre de grandeur réaliste d'un hôtel-restaurant de 25 chambres, 2 à 3 étoiles, dont le restaurant sert aussi une clientèle extérieure, repris murs et fonds.</t>
  </si>
  <si>
    <t xml:space="preserve">Pour qui</t>
  </si>
  <si>
    <t xml:space="preserve">Porteurs de projet, exploitants, cédants, banquiers et conseils qui veulent un point de départ chiffré, sourcé et modifiable pour un projet sur la côte ouest, de la Manche au Pays basque.</t>
  </si>
  <si>
    <t xml:space="preserve">Mode d'emploi</t>
  </si>
  <si>
    <t xml:space="preserve">1. Ouvrez l'onglet Hypothèses et remplacez les valeurs des cellules bleues sur fond or pâle par celles de votre projet (devis, historique du cédant, offres bancaires).
2. Ajustez le profil mensuel si votre établissement ferme certains mois (colonne « Ouvert »).
3. Lisez le résultat dans les onglets Exploitation (compte sur 10 ans), Financement (besoins, prêts) et Indicateurs (couverture de la dette, point mort, trésorerie).
4. Passez en revue l'onglet Conseils avant tout engagement.</t>
  </si>
  <si>
    <t xml:space="preserve">Légende</t>
  </si>
  <si>
    <t xml:space="preserve">Bleu sur fond or pâle : hypothèse à saisir. Noir : calcul. Vert : lien vers une autre feuille. Dans l'onglet Hypothèses, la colonne « Nature » indique si la valeur est sourcée (référence [S..] vers l'onglet Sources), calculée, ou une hypothèse illustrative à remplacer.</t>
  </si>
  <si>
    <t xml:space="preserve">Structure</t>
  </si>
  <si>
    <t xml:space="preserve">Deux sociétés : une société des murs (SCI à l'impôt sur les sociétés) achète l'immeuble et le loue ; une société d'exploitation (SAS) achète le fonds de commerce (hôtel et restaurant), finance la cuisine et les aménagements, et paie le loyer.</t>
  </si>
  <si>
    <t xml:space="preserve">Onglets</t>
  </si>
  <si>
    <t xml:space="preserve">Hypothèses : toutes les entrées, avec source et date, et le profil saisonnier mois par mois.
Exploitation : compte d'exploitation sur 10 ans.
Financement : valeur, besoins avec les frais d'acquisition (notaire, droits sur le fonds par tranches, honoraires d'agence, audits), récapitulatif du coût total, apport, deux prêts (fonction PMT) et tableau d'amortissement.
Indicateurs : couverture de la dette année par année, point mort, trésorerie, délai de retour.
Conseils : listes de contrôle, garanties, aides régionales.
Sources : organismes, documents, dates et adresses.</t>
  </si>
  <si>
    <t xml:space="preserve">Limites</t>
  </si>
  <si>
    <t xml:space="preserve">Les ratios publics d'exploitation de l'hôtellerie indépendante sont rares : plusieurs postes sont des hypothèses illustratives. Les panels d'observatoires portent surtout sur des hôtels de chaîne. L'impôt est simplifié. Aucun seuil bancaire public n'existe pour la couverture de la dette.</t>
  </si>
  <si>
    <t xml:space="preserve">Version</t>
  </si>
  <si>
    <t xml:space="preserve">Octobre 2026. Données publiques arrêtées au 12 octobre 2026. Taux de crédit de référence : Banque de France, août 2026. Mise à jour du 12 octobre 2026 : frais de notaire de 7,8 % par défaut, honoraires d'agence (murs et fonds séparés), audits avant l'achat et récapitulatif du coût total.</t>
  </si>
  <si>
    <t xml:space="preserve">Pour aller plus loin</t>
  </si>
  <si>
    <t xml:space="preserve">westcoasthospitality.fr : étude de marché de la côte ouest, dossier sur le financement d'une reprise hôtelière, simulateurs en ligne et page des scénarios types.</t>
  </si>
  <si>
    <t xml:space="preserve">Hypothèses · Hôtel-restaurant de 25 chambres</t>
  </si>
  <si>
    <t xml:space="preserve">Hypothèses illustratives, pas un conseil en investissement. Données publiques arrêtées au 12 octobre 2026.</t>
  </si>
  <si>
    <t xml:space="preserve">Cellule à modifier (texte bleu sur fond or pâle). Les cellules en noir sont des calculs, en vert des liens vers une autre feuille. Nature : « Sourcé » = valeur publiée (source et date à droite, détail dans l'onglet Sources) ; « Calcul » = dérivé d'autres cellules ; « Hypothèse illustrative » = valeur plausible non sourcée, à remplacer par vos devis et votre historique.</t>
  </si>
  <si>
    <t xml:space="preserve">1. L'établissement et son activité de croisière</t>
  </si>
  <si>
    <t xml:space="preserve">Hypothèse</t>
  </si>
  <si>
    <t xml:space="preserve">Valeur</t>
  </si>
  <si>
    <t xml:space="preserve">Unité</t>
  </si>
  <si>
    <t xml:space="preserve">Nature</t>
  </si>
  <si>
    <t xml:space="preserve">Source et date</t>
  </si>
  <si>
    <t xml:space="preserve">Nombre de chambres</t>
  </si>
  <si>
    <t xml:space="preserve">chambres</t>
  </si>
  <si>
    <t xml:space="preserve">Hypothèse illustrative</t>
  </si>
  <si>
    <t xml:space="preserve">Hôtel-restaurant de bourg, de route touristique ou d'arrière-pays littoral.</t>
  </si>
  <si>
    <t xml:space="preserve">Personnes par chambre occupée</t>
  </si>
  <si>
    <t xml:space="preserve">personnes</t>
  </si>
  <si>
    <t xml:space="preserve">À relever dans votre historique ou celui du cédant.</t>
  </si>
  <si>
    <t xml:space="preserve">Taux d'occupation annuel visé (avant profil saisonnier)</t>
  </si>
  <si>
    <t xml:space="preserve">%</t>
  </si>
  <si>
    <t xml:space="preserve">Sourcé</t>
  </si>
  <si>
    <t xml:space="preserve">Insee, hôtels de Normandie en 2025 : 52,9 % en 1 et 2 étoiles, 56,5 % en 3 étoiles [S4] ; Gironde 2025 : indépendants 57,1 % [S5]. Valeur retenue avant profil saisonnier.</t>
  </si>
  <si>
    <t xml:space="preserve">Prix moyen annuel visé par chambre vendue, HT</t>
  </si>
  <si>
    <t xml:space="preserve">€ HT</t>
  </si>
  <si>
    <t xml:space="preserve">MKG, cumul 2025, € HT : gamme économique France 87,8 € ; Loire-Atlantique économique 82,5 € ; Vendée économique 84,2 € [S1].</t>
  </si>
  <si>
    <t xml:space="preserve">Amplitude saisonnière appliquée au profil normand</t>
  </si>
  <si>
    <t xml:space="preserve">coefficient</t>
  </si>
  <si>
    <t xml:space="preserve">Calcul</t>
  </si>
  <si>
    <t xml:space="preserve">Calé pour retrouver le rapport août / année du littoral : Morbihan 83,1 % / 58,2 % = 1,43 ; Calvados 82,9 % / 60,7 % = 1,37 (UMIH-GNC et MKG, août et décembre 2025) [S1] [S2]. Avec 1,2, août ressort à 1,40 fois la moyenne.</t>
  </si>
  <si>
    <t xml:space="preserve">Plafond d'occupation d'un mois</t>
  </si>
  <si>
    <t xml:space="preserve">Un hôtel ne vend jamais toutes ses chambres tous les jours (départs, travaux, chambres hors service).</t>
  </si>
  <si>
    <t xml:space="preserve">2. Profil saisonnier de la côte ouest (mois par mois, année de croisière, prix de l'année 1)</t>
  </si>
  <si>
    <t xml:space="preserve">Taux d'occupation mensuels 2025 des hôtels de Normandie (Insee et Normandie Tourisme, bilan d'avril 2026, lecture des données du graphique) [S4], convertis en indices puis amplifiés pour le littoral. Les coefficients de prix sont une hypothèse illustrative calée sur août = 1,24 fois la moyenne annuelle (Calvados et Morbihan, août 2025 [S2]) et janvier = 0,91 (Ille-et-Vilaine, janvier 2025 [S3]). Le prix moyen du mois est recalé pour que le prix moyen annuel égale l'hypothèse ci-dessus. Mettez 0 dans « Ouvert » pour un mois de fermeture.</t>
  </si>
  <si>
    <t xml:space="preserve">Mois</t>
  </si>
  <si>
    <t xml:space="preserve">Jours</t>
  </si>
  <si>
    <t xml:space="preserve">Ouvert (1 ou 0)</t>
  </si>
  <si>
    <t xml:space="preserve">TO Normandie 2025</t>
  </si>
  <si>
    <t xml:space="preserve">Indice brut</t>
  </si>
  <si>
    <t xml:space="preserve">Indice littoral</t>
  </si>
  <si>
    <t xml:space="preserve">Coefficient de prix</t>
  </si>
  <si>
    <t xml:space="preserve">TO du mois</t>
  </si>
  <si>
    <t xml:space="preserve">Nuitées vendues</t>
  </si>
  <si>
    <t xml:space="preserve">Prix moyen HT</t>
  </si>
  <si>
    <t xml:space="preserve">CA hébergement HT</t>
  </si>
  <si>
    <t xml:space="preserve">Janvier</t>
  </si>
  <si>
    <t xml:space="preserve">Février</t>
  </si>
  <si>
    <t xml:space="preserve">Mars</t>
  </si>
  <si>
    <t xml:space="preserve">Avril</t>
  </si>
  <si>
    <t xml:space="preserve">Mai</t>
  </si>
  <si>
    <t xml:space="preserve">Juin</t>
  </si>
  <si>
    <t xml:space="preserve">Juillet</t>
  </si>
  <si>
    <t xml:space="preserve">Août</t>
  </si>
  <si>
    <t xml:space="preserve">Septembre</t>
  </si>
  <si>
    <t xml:space="preserve">Octobre</t>
  </si>
  <si>
    <t xml:space="preserve">Novembre</t>
  </si>
  <si>
    <t xml:space="preserve">Décembre</t>
  </si>
  <si>
    <t xml:space="preserve">Année</t>
  </si>
  <si>
    <t xml:space="preserve">Lecture : la ligne « Année » donne le TO moyen sur 365 jours, les nuitées vendues, le prix moyen et le CA hébergement de l'année de croisière (prix de l'année 1).</t>
  </si>
  <si>
    <t xml:space="preserve">Normalisation des coefficients de prix (calcul)</t>
  </si>
  <si>
    <t xml:space="preserve">3. Recettes et chiffre d'affaires de référence (année de croisière, prix de l'année 1)</t>
  </si>
  <si>
    <t xml:space="preserve">Jours d'ouverture dans l'année</t>
  </si>
  <si>
    <t xml:space="preserve">jours</t>
  </si>
  <si>
    <t xml:space="preserve">Somme des jours des mois ouverts.</t>
  </si>
  <si>
    <t xml:space="preserve">Nuitées chambres vendues</t>
  </si>
  <si>
    <t xml:space="preserve">nuitées</t>
  </si>
  <si>
    <t xml:space="preserve">Total du profil mensuel.</t>
  </si>
  <si>
    <t xml:space="preserve">Taux d'occupation sur l'année (365 jours)</t>
  </si>
  <si>
    <t xml:space="preserve">Nuitées vendues / (chambres × 365).</t>
  </si>
  <si>
    <t xml:space="preserve">Prix moyen réalisé HT</t>
  </si>
  <si>
    <t xml:space="preserve">Égal au prix moyen visé grâce à la normalisation.</t>
  </si>
  <si>
    <t xml:space="preserve">RevPAR HT (CA hébergement / chambres disponibles sur 365 jours)</t>
  </si>
  <si>
    <t xml:space="preserve">Calcul.</t>
  </si>
  <si>
    <t xml:space="preserve">CA hébergement de référence</t>
  </si>
  <si>
    <t xml:space="preserve">Part des clients qui prennent le petit-déjeuner</t>
  </si>
  <si>
    <t xml:space="preserve">Aucune statistique récente publiée. Repère ancien : 58 % des hôteliers déclaraient plus de 80 % de clients au petit-déjeuner (enquête Hospitality ON et Olakala, 2014).</t>
  </si>
  <si>
    <t xml:space="preserve">Prix du petit-déjeuner par personne</t>
  </si>
  <si>
    <t xml:space="preserve">Prix moyen introuvable en source publique récente. TVA de 10 % [S31].</t>
  </si>
  <si>
    <t xml:space="preserve">CA petits-déjeuners de référence</t>
  </si>
  <si>
    <t xml:space="preserve">Nuitées × personnes × taux de prise × prix.</t>
  </si>
  <si>
    <t xml:space="preserve">Couverts servis par jour d'ouverture (midi et soir, clients de l'hôtel compris)</t>
  </si>
  <si>
    <t xml:space="preserve">couverts</t>
  </si>
  <si>
    <t xml:space="preserve">À établir avec l'historique du cédant.</t>
  </si>
  <si>
    <t xml:space="preserve">Ticket moyen HT par couvert</t>
  </si>
  <si>
    <t xml:space="preserve">Ticket moyen introuvable en source publique récente. TVA de 10 % sur les repas, 20 % sur l'alcool [S32].</t>
  </si>
  <si>
    <t xml:space="preserve">Jours d'ouverture du restaurant par an</t>
  </si>
  <si>
    <t xml:space="preserve">Fermetures hebdomadaires et congés annuels déduits.</t>
  </si>
  <si>
    <t xml:space="preserve">CA restaurant de référence</t>
  </si>
  <si>
    <t xml:space="preserve">Couverts × ticket × jours.</t>
  </si>
  <si>
    <t xml:space="preserve">Autres recettes (parking, ventes diverses), en % du CA hébergement</t>
  </si>
  <si>
    <t xml:space="preserve">À ajuster selon l'établissement.</t>
  </si>
  <si>
    <t xml:space="preserve">Autres recettes de référence</t>
  </si>
  <si>
    <t xml:space="preserve">Chiffre d'affaires de référence</t>
  </si>
  <si>
    <t xml:space="preserve">Base de calcul du loyer, du prix du fonds et des charges de structure. Taxe de séjour exclue : elle est collectée pour la commune [S39].</t>
  </si>
  <si>
    <t xml:space="preserve">Dont recettes liées à l'occupation des chambres</t>
  </si>
  <si>
    <t xml:space="preserve">Recettes qui suivent le taux d'occupation (hébergement, petit-déjeuner, bar, autres).</t>
  </si>
  <si>
    <t xml:space="preserve">4. Montée en charge et indexation</t>
  </si>
  <si>
    <t xml:space="preserve">Activité de l'année 1, en % de l'activité de croisière</t>
  </si>
  <si>
    <t xml:space="preserve">Transition après la reprise ou l'ouverture.</t>
  </si>
  <si>
    <t xml:space="preserve">Activité de l'année 2</t>
  </si>
  <si>
    <t xml:space="preserve">Idem.</t>
  </si>
  <si>
    <t xml:space="preserve">Activité à partir de l'année 3</t>
  </si>
  <si>
    <t xml:space="preserve">Année de croisière.</t>
  </si>
  <si>
    <t xml:space="preserve">Hausse annuelle des prix de vente</t>
  </si>
  <si>
    <t xml:space="preserve">%/an</t>
  </si>
  <si>
    <t xml:space="preserve">Proche de la projection d'inflation de la BCE pour 2028 (2,1 %) ; 3,0 % projetés pour 2026 et 2,5 % pour 2027 [S50].</t>
  </si>
  <si>
    <t xml:space="preserve">Hausse annuelle des charges (hors salaires) et du loyer</t>
  </si>
  <si>
    <t xml:space="preserve">Idem [S50].</t>
  </si>
  <si>
    <t xml:space="preserve">Hausse annuelle des salaires</t>
  </si>
  <si>
    <t xml:space="preserve">Le SMIC a augmenté de 1,18 % au 1er janvier 2026 puis de 2,41 % au 1er juin 2026 (12,31 € brut de l'heure) [S15] [S16].</t>
  </si>
  <si>
    <t xml:space="preserve">5. Charges variables (proportionnelles aux recettes)</t>
  </si>
  <si>
    <t xml:space="preserve">Coût des marchandises vendues (nourriture et boissons), en % des recettes de restauration</t>
  </si>
  <si>
    <t xml:space="preserve">Taux de marge commerciale médian de la restauration : 69,0 % en 2023, soit environ 31 % de coût des marchandises (Banque de France, NAF 56, 12 370 entreprises) [S7].</t>
  </si>
  <si>
    <t xml:space="preserve">Part du CA hébergement vendue par les agences en ligne</t>
  </si>
  <si>
    <t xml:space="preserve">29,9 % des nuitées en 2025 (Europe, enquête HOTREC, 1 882 indépendants et 831 hôtels de chaîne, publiée le 15/09/2026) [S11]. Pour un indépendant, souvent davantage.</t>
  </si>
  <si>
    <t xml:space="preserve">Commission moyenne des agences en ligne</t>
  </si>
  <si>
    <t xml:space="preserve">17 % selon un collectif de 300 hôtels indépendants (août 2021) [S12]. Ordre de grandeur sénatorial : 4 à 5 % du CA de l'hôtellerie (2018) [S13]. Booking.com ne publie pas de taux.</t>
  </si>
  <si>
    <t xml:space="preserve">Frais bancaires et commissions de cartes, en % du CA</t>
  </si>
  <si>
    <t xml:space="preserve">À relever sur les contrats du terminal de paiement.</t>
  </si>
  <si>
    <t xml:space="preserve">Blanchisserie et linge, en % du CA hébergement</t>
  </si>
  <si>
    <t xml:space="preserve">Location-entretien ou blanchisserie intégrée.</t>
  </si>
  <si>
    <t xml:space="preserve">Produits d'accueil et consommables des chambres, en % du CA hébergement</t>
  </si>
  <si>
    <t xml:space="preserve">6. Charges de structure (calées sur le CA de référence, puis indexées)</t>
  </si>
  <si>
    <t xml:space="preserve">Masse salariale, en % du CA (hébergement, petit-déjeuner, bar)</t>
  </si>
  <si>
    <t xml:space="preserve">Hébergement : environ 30 % du CA pour un hôtel avec peu de services (Keobiz, 25/07/2026) [S8]. Le restaurant a son propre ratio ci-dessous.</t>
  </si>
  <si>
    <t xml:space="preserve">Masse salariale du restaurant, en % du CA restaurant</t>
  </si>
  <si>
    <t xml:space="preserve">Charges de personnel de la restauration traditionnelle : 37,33 % du CA, exercice 2025 (UMIH, L'Essentiel n° 40, juillet-août 2026) [S9].</t>
  </si>
  <si>
    <t xml:space="preserve">Coût annuel d'un équivalent temps plein (contrôle)</t>
  </si>
  <si>
    <t xml:space="preserve">€</t>
  </si>
  <si>
    <t xml:space="preserve">Coût apparent médian de la main-d'œuvre dans l'hébergement : 39,5 k€ par personne en 2023 (Banque de France, NAF 55) [S6]. Sert à traduire la masse salariale en effectif.</t>
  </si>
  <si>
    <t xml:space="preserve">Électricité, en % du CA</t>
  </si>
  <si>
    <t xml:space="preserve">Achats d'électricité : 3,8 % du CA en moyenne (enquête GHR et UMIH, communiqué du 12/02/2024) [S10].</t>
  </si>
  <si>
    <t xml:space="preserve">Autres énergies et eau, en % du CA</t>
  </si>
  <si>
    <t xml:space="preserve">Gaz, fioul, eau : selon le bâtiment et la cuisine.</t>
  </si>
  <si>
    <t xml:space="preserve">Entretien et maintenance courante, en % du CA</t>
  </si>
  <si>
    <t xml:space="preserve">Contrats de maintenance, petites réparations.</t>
  </si>
  <si>
    <t xml:space="preserve">Marketing, site, logiciels (gestion hôtelière, gestionnaire de canaux), en % du CA</t>
  </si>
  <si>
    <t xml:space="preserve">Assurances, en % du CA</t>
  </si>
  <si>
    <t xml:space="preserve">Devis à obtenir.</t>
  </si>
  <si>
    <t xml:space="preserve">Honoraires (expert-comptable, juridique)</t>
  </si>
  <si>
    <t xml:space="preserve">€/an</t>
  </si>
  <si>
    <t xml:space="preserve">Impôts et taxes d'exploitation (CFE, etc.), en % du CA</t>
  </si>
  <si>
    <t xml:space="preserve">Hors impôt sur les sociétés.</t>
  </si>
  <si>
    <t xml:space="preserve">Autres charges externes (télécoms, abonnements, droits musicaux, divers), en % du CA</t>
  </si>
  <si>
    <t xml:space="preserve">Réserve de renouvellement du mobilier et des équipements, en % du CA</t>
  </si>
  <si>
    <t xml:space="preserve">4 % du CA : niveau usuel des contrats de gestion et de prêt ; dépenses réellement constatées : 7,6 % du CA en 2013-2017 (ISHC et HAMA, États-Unis, via CoStar, 13/02/2019) [S14].</t>
  </si>
  <si>
    <t xml:space="preserve">7. Loyer, valeur des murs et du fonds, travaux</t>
  </si>
  <si>
    <t xml:space="preserve">Loyer versé à la société des murs, en % du CA de référence</t>
  </si>
  <si>
    <t xml:space="preserve">Taux d'effort courant de 10 à 15 % du CA HT, jusqu'à 20 % en luxe ou emplacement de premier ordre (L'Hôtellerie Restauration, 28/08/2024) [S17]. Borne basse retenue : avec un restaurant, un loyer calculé sur tout le CA pèse plus lourd, la méthode hôtelière raisonnant sur la recette d'hébergement.</t>
  </si>
  <si>
    <t xml:space="preserve">Loyer annuel de référence (année 1)</t>
  </si>
  <si>
    <t xml:space="preserve">Loyer fixe, indexé chaque année comme les charges. Doit rester défendable comme loyer de marché.</t>
  </si>
  <si>
    <t xml:space="preserve">Charges de propriétaire (taxe foncière, assurance, gros entretien), en % du loyer</t>
  </si>
  <si>
    <t xml:space="preserve">Selon le bail : à préciser dans la répartition des charges.</t>
  </si>
  <si>
    <t xml:space="preserve">Taux de capitalisation des murs (loyer / prix)</t>
  </si>
  <si>
    <t xml:space="preserve">Province : 7 à 8 % (Extendam, propos du 29/11/2023) [S18]. Actifs prime en France : 5,00 % sous bail commercial (CBRE, T1 2026) [S54]. Valeur retenue : milieu de la fourchette provinciale.</t>
  </si>
  <si>
    <t xml:space="preserve">Prix du fonds de commerce, en % du CA de référence</t>
  </si>
  <si>
    <t xml:space="preserve">Médiane de 78,5 % du CA HT depuis 2013 ; un cas sur deux entre 47 et 146 % ; littoral souvent au-dessus de 125 % (Favre-Réguillon et FDC Études, cessions 2008 à 2019, publié en 2020) [S19].</t>
  </si>
  <si>
    <t xml:space="preserve">Travaux portés par la société des murs, par chambre (gros œuvre, menuiseries, réseaux)</t>
  </si>
  <si>
    <t xml:space="preserve">€/chambre</t>
  </si>
  <si>
    <t xml:space="preserve">Coût du gros œuvre par chambre introuvable en source publique : devis indispensables.</t>
  </si>
  <si>
    <t xml:space="preserve">Aménagement par chambre porté par l'exploitant (salle de bains, literie, mobilier)</t>
  </si>
  <si>
    <t xml:space="preserve">Keobiz : 5 000 à 15 000 € par chambre en 2 et 3 étoiles, 15 000 à 35 000 € en 4 étoiles, hors gros œuvre (25/07/2026) [S24].</t>
  </si>
  <si>
    <t xml:space="preserve">Cuisine et salle de restaurant (forfait de l'exploitant)</t>
  </si>
  <si>
    <t xml:space="preserve">8. Frais d'acquisition et de montage</t>
  </si>
  <si>
    <t xml:space="preserve">Frais de notaire sur les murs, en % du prix (droits de mutation, émoluments, débours)</t>
  </si>
  <si>
    <t xml:space="preserve">Ordre de grandeur dans l'ancien : 7 à 8 % du prix (UFC-Que Choisir, 18/06/2025) [S55]. Depuis le 01/04/2025, les départements peuvent porter leur taux à 5 % jusqu'au 31/03/2028, soit 6,3185 % de droits au total [S22] ; 88 départements l'appliquent au 01/06/2026 [S23]. Valeur retenue : 7,8 %, à remplacer par le décompte de votre notaire. Le détail du barème ci-dessous sert de contrôle.</t>
  </si>
  <si>
    <t xml:space="preserve">   Contrôle : droits de mutation (taux départemental de 5 %)</t>
  </si>
  <si>
    <t xml:space="preserve">6,3185 % au taux départemental de 5 % (5,80665 % à 4,50 %) [S22] [S23]. Vérifiez le taux du département visé.</t>
  </si>
  <si>
    <t xml:space="preserve">   Contrôle : contribution de sécurité immobilière</t>
  </si>
  <si>
    <t xml:space="preserve">0,10 % du prix (minimum 15 €) [S22].</t>
  </si>
  <si>
    <t xml:space="preserve">   Contrôle : émoluments du notaire, tranche au-delà de 60 000 € (HT)</t>
  </si>
  <si>
    <t xml:space="preserve">Barème : 3,870 % jusqu'à 6 500 €, 1,596 % jusqu'à 17 000 €, 1,064 % jusqu'à 60 000 €, 0,799 % au-delà (vérifié le 05/08/2026) [S22] [S60]. Calcul simplifié sur le seul dernier taux.</t>
  </si>
  <si>
    <t xml:space="preserve">   Contrôle : TVA sur les émoluments</t>
  </si>
  <si>
    <t xml:space="preserve">TVA au taux normal sur la rémunération du notaire [S22].</t>
  </si>
  <si>
    <t xml:space="preserve">   Contrôle : émoluments de formalités (forfait HT)</t>
  </si>
  <si>
    <t xml:space="preserve">Vente publiée : 339,58 € HT [S22].</t>
  </si>
  <si>
    <t xml:space="preserve">   Contrôle : frais calculés au barème pour le prix du scénario, hors débours</t>
  </si>
  <si>
    <t xml:space="preserve">Droits + contribution + émoluments TTC + formalités TTC, rapportés au prix. Pour un prix élevé, le barème donne un peu moins que 7,8 % : la valeur retenue reste prudente et couvre les débours.</t>
  </si>
  <si>
    <t xml:space="preserve">Honoraires d'agence sur les murs, en % du prix</t>
  </si>
  <si>
    <t xml:space="preserve">Chaque agence fixe son barème et l'affiche comme un maximum, négociable (DGCCRF, 04/08/2023) [S58]. Repère dans le logement : 3 à 10 % du prix, 4 à 5 % au-delà de 500 000 € (PAP, 13/01/2025) [S57] ; aucune moyenne publique pour des murs d'hôtel. Mettez 0 si la commission est à la charge du vendeur.</t>
  </si>
  <si>
    <t xml:space="preserve">Droits sur le fonds : seuil d'exonération</t>
  </si>
  <si>
    <t xml:space="preserve">0 % jusqu'à 23 000 € ; 3 % de 23 000 à 200 000 € ; 5 % au-delà (CCI Paris Île-de-France, 25/06/2026 ; Bpifrance Création, juillet 2025) [S21] [S59].</t>
  </si>
  <si>
    <t xml:space="preserve">Droits sur le fonds : seuil de la tranche à 5 %</t>
  </si>
  <si>
    <t xml:space="preserve">Idem [S21] [S59].</t>
  </si>
  <si>
    <t xml:space="preserve">Droits sur le fonds : taux de la tranche intermédiaire</t>
  </si>
  <si>
    <t xml:space="preserve">Droits sur le fonds : taux au-delà du second seuil</t>
  </si>
  <si>
    <t xml:space="preserve">Honoraires d'agence ou d'intermédiaire sur le fonds, en % du prix</t>
  </si>
  <si>
    <t xml:space="preserve">Commission d'un intermédiaire en cession de fonds : 5 à 10 % du prix, généralement à la charge du vendeur (Point de vente, 24/06/2026) [S56]. Valeur retenue : bas de la fourchette. Prise en charge par l'acheteur, elle n'entre pas dans l'assiette des droits [S21]. Mettez 0 si le vendeur la paie.</t>
  </si>
  <si>
    <t xml:space="preserve">Honoraires de rédaction de l'acte de cession du fonds, séquestre, publicités, en % du prix</t>
  </si>
  <si>
    <t xml:space="preserve">Avocat : 1 à 3 % du prix, ou 2 000 à 5 000 € au forfait pour un fonds courant (Point de vente, 24/06/2026) [S56]. À faire chiffrer par votre avocat ou rédacteur d'acte.</t>
  </si>
  <si>
    <t xml:space="preserve">Audits avant l'achat des murs (diagnostic technique, expertise), optionnel</t>
  </si>
  <si>
    <t xml:space="preserve">Aucun barème public : faites chiffrer l'expertise et les diagnostics. Mettez 0 pour les exclure.</t>
  </si>
  <si>
    <t xml:space="preserve">Audits avant l'achat du fonds (comptable, juridique, social), optionnel</t>
  </si>
  <si>
    <t xml:space="preserve">Aucun barème public pour un audit d'acquisition hôtelier. Mettez 0 pour les exclure.</t>
  </si>
  <si>
    <t xml:space="preserve">Frais de dossier, de garantie et de prise de sûretés, en % des prêts</t>
  </si>
  <si>
    <t xml:space="preserve">La garantie France Active coûte 2,5 % du montant garanti [S41] ; les commissions Bpifrance et SIAGI ne sont pas publiées [S40] [S42].</t>
  </si>
  <si>
    <t xml:space="preserve">Trésorerie de démarrage (stock, dépôts, premiers mois)</t>
  </si>
  <si>
    <t xml:space="preserve">Le besoin en fonds de roulement de l'hébergement est structurellement négatif (médiane de −33,9 jours de CA en 2023, Banque de France) [S6] ; prévoyez malgré tout de quoi passer la première basse saison.</t>
  </si>
  <si>
    <t xml:space="preserve">9. Financement</t>
  </si>
  <si>
    <t xml:space="preserve">Apport sur le besoin de la société des murs</t>
  </si>
  <si>
    <t xml:space="preserve">10 % au minimum (MetLife, 2026) ; 20 à 30 % souvent demandés (Keobiz, 25/07/2026) [S27] [S28]. Les deux sources divergent.</t>
  </si>
  <si>
    <t xml:space="preserve">Apport sur le besoin de la société d'exploitation</t>
  </si>
  <si>
    <t xml:space="preserve">30 % du financement (MetLife : minimum ; CAFPI : usage, 17/12/2024) [S28] [S29].</t>
  </si>
  <si>
    <t xml:space="preserve">Taux de référence des crédits</t>
  </si>
  <si>
    <t xml:space="preserve">Nouveaux crédits aux PME : 3,71 % en août 2026, 3,66 % toutes entreprises (Banque de France, Stat Info du 08/10/2026) [S25]. Moyenne toutes durées.</t>
  </si>
  <si>
    <t xml:space="preserve">Majoration retenue sur le prêt des murs (taux fixe long)</t>
  </si>
  <si>
    <t xml:space="preserve">point</t>
  </si>
  <si>
    <t xml:space="preserve">Aucune statistique publique ne donne le taux d'un prêt hôtelier à taux fixe sur 15 à 20 ans.</t>
  </si>
  <si>
    <t xml:space="preserve">Majoration retenue sur le prêt du fonds et des aménagements</t>
  </si>
  <si>
    <t xml:space="preserve">Prêt non adossé à un immeuble : risque plus élevé pour la banque.</t>
  </si>
  <si>
    <t xml:space="preserve">Durée du prêt des murs</t>
  </si>
  <si>
    <t xml:space="preserve">ans</t>
  </si>
  <si>
    <t xml:space="preserve">15 à 20 ans (Keobiz, 25/07/2026) ; jusqu'à 20 ans (MetLife, 2026) [S27] [S28]. Aucune source ne cite 25 ans.</t>
  </si>
  <si>
    <t xml:space="preserve">Durée du prêt du fonds et des aménagements</t>
  </si>
  <si>
    <t xml:space="preserve">7 ans au plus (MetLife) ; 7 à 10 ans (CAFPI) [S28] [S29]. Borne haute retenue : le prêt finance surtout des aménagements.</t>
  </si>
  <si>
    <t xml:space="preserve">10. Fiscalité et seuils de lecture</t>
  </si>
  <si>
    <t xml:space="preserve">Impôt sur les sociétés : taux réduit</t>
  </si>
  <si>
    <t xml:space="preserve">15 % jusqu'à 42 500 € de bénéfice (PME dont le capital est détenu à 75 % au moins par des personnes physiques), 25 % au-delà (vérifié le 17/02/2026) [S30].</t>
  </si>
  <si>
    <t xml:space="preserve">Impôt sur les sociétés : plafond du taux réduit</t>
  </si>
  <si>
    <t xml:space="preserve">Idem [S30].</t>
  </si>
  <si>
    <t xml:space="preserve">Impôt sur les sociétés : taux normal</t>
  </si>
  <si>
    <t xml:space="preserve">Part du terrain dans le prix des murs (non amortissable)</t>
  </si>
  <si>
    <t xml:space="preserve">À fixer avec votre expert-comptable.</t>
  </si>
  <si>
    <t xml:space="preserve">Durée d'amortissement de l'immeuble</t>
  </si>
  <si>
    <t xml:space="preserve">Simplification : un seul composant.</t>
  </si>
  <si>
    <t xml:space="preserve">Durée d'amortissement des travaux de la société des murs</t>
  </si>
  <si>
    <t xml:space="preserve">Durée d'amortissement des aménagements de l'exploitant</t>
  </si>
  <si>
    <t xml:space="preserve">Seuil de lecture du ratio de couverture de la dette (EBE / annuités)</t>
  </si>
  <si>
    <t xml:space="preserve">x</t>
  </si>
  <si>
    <t xml:space="preserve">Aucun seuil bancaire propre à l'hôtellerie indépendante n'est publié. Sous 1, l'activité ne paie pas la dette ; le seuil de 1,2 sert seulement de repère de lecture.</t>
  </si>
  <si>
    <t xml:space="preserve">Compte d'exploitation sur 10 ans · Hôtel-restaurant de 25 chambres</t>
  </si>
  <si>
    <t xml:space="preserve">En euros hors taxes. Recettes et charges variables suivent l'activité ; charges de structure calées sur le CA de référence puis indexées.</t>
  </si>
  <si>
    <t xml:space="preserve">En euros HT</t>
  </si>
  <si>
    <t xml:space="preserve">Base</t>
  </si>
  <si>
    <t xml:space="preserve">Année 1</t>
  </si>
  <si>
    <t xml:space="preserve">Année 2</t>
  </si>
  <si>
    <t xml:space="preserve">Année 3</t>
  </si>
  <si>
    <t xml:space="preserve">Année 4</t>
  </si>
  <si>
    <t xml:space="preserve">Année 5</t>
  </si>
  <si>
    <t xml:space="preserve">Année 6</t>
  </si>
  <si>
    <t xml:space="preserve">Année 7</t>
  </si>
  <si>
    <t xml:space="preserve">Année 8</t>
  </si>
  <si>
    <t xml:space="preserve">Année 9</t>
  </si>
  <si>
    <t xml:space="preserve">Année 10</t>
  </si>
  <si>
    <t xml:space="preserve">Rang de l'année</t>
  </si>
  <si>
    <t xml:space="preserve">Activité</t>
  </si>
  <si>
    <t xml:space="preserve">Activité en % de la croisière</t>
  </si>
  <si>
    <t xml:space="preserve">Indice des prix de vente</t>
  </si>
  <si>
    <t xml:space="preserve">Base 1 en année 1</t>
  </si>
  <si>
    <t xml:space="preserve">Indice des charges et du loyer</t>
  </si>
  <si>
    <t xml:space="preserve">Indice des salaires</t>
  </si>
  <si>
    <t xml:space="preserve">Taux d'occupation (sur 365 jours)</t>
  </si>
  <si>
    <t xml:space="preserve">RevPAR HT</t>
  </si>
  <si>
    <t xml:space="preserve">Chiffre d'affaires HT</t>
  </si>
  <si>
    <t xml:space="preserve">Hébergement</t>
  </si>
  <si>
    <t xml:space="preserve">Petits-déjeuners</t>
  </si>
  <si>
    <t xml:space="preserve">Restaurant</t>
  </si>
  <si>
    <t xml:space="preserve">Autres recettes</t>
  </si>
  <si>
    <t xml:space="preserve">Chiffre d'affaires total</t>
  </si>
  <si>
    <t xml:space="preserve">Charges variables</t>
  </si>
  <si>
    <t xml:space="preserve">Coût des marchandises (nourriture et boissons)</t>
  </si>
  <si>
    <t xml:space="preserve">Commissions des agences en ligne</t>
  </si>
  <si>
    <t xml:space="preserve">Frais bancaires et cartes</t>
  </si>
  <si>
    <t xml:space="preserve">Blanchisserie et linge</t>
  </si>
  <si>
    <t xml:space="preserve">Produits d'accueil et consommables</t>
  </si>
  <si>
    <t xml:space="preserve">Total des charges variables</t>
  </si>
  <si>
    <t xml:space="preserve">Charges de structure</t>
  </si>
  <si>
    <t xml:space="preserve">Masse salariale (salaires et charges)</t>
  </si>
  <si>
    <t xml:space="preserve">   Effectif équivalent (contrôle, ETP)</t>
  </si>
  <si>
    <t xml:space="preserve">Masse salariale / coût d'un ETP</t>
  </si>
  <si>
    <t xml:space="preserve">Électricité</t>
  </si>
  <si>
    <t xml:space="preserve">Autres énergies et eau</t>
  </si>
  <si>
    <t xml:space="preserve">Entretien et maintenance</t>
  </si>
  <si>
    <t xml:space="preserve">Marketing, site et logiciels</t>
  </si>
  <si>
    <t xml:space="preserve">Assurances</t>
  </si>
  <si>
    <t xml:space="preserve">Honoraires</t>
  </si>
  <si>
    <t xml:space="preserve">Impôts et taxes d'exploitation</t>
  </si>
  <si>
    <t xml:space="preserve">Autres charges externes</t>
  </si>
  <si>
    <t xml:space="preserve">Total des charges de structure</t>
  </si>
  <si>
    <t xml:space="preserve">Excédent brut d'exploitation</t>
  </si>
  <si>
    <t xml:space="preserve">EBE avant loyer</t>
  </si>
  <si>
    <t xml:space="preserve">EBE avant loyer / CA</t>
  </si>
  <si>
    <t xml:space="preserve">Loyer versé à la société des murs</t>
  </si>
  <si>
    <t xml:space="preserve">EBE de la société d'exploitation (après loyer)</t>
  </si>
  <si>
    <t xml:space="preserve">EBE après loyer / CA</t>
  </si>
  <si>
    <t xml:space="preserve">Banque de France : médiane 19,3 %</t>
  </si>
  <si>
    <t xml:space="preserve">Société des murs</t>
  </si>
  <si>
    <t xml:space="preserve">Loyer reçu</t>
  </si>
  <si>
    <t xml:space="preserve">Charges de propriétaire</t>
  </si>
  <si>
    <t xml:space="preserve">EBE de la société des murs</t>
  </si>
  <si>
    <t xml:space="preserve">Vue consolidée (les deux sociétés, loyer neutralisé)</t>
  </si>
  <si>
    <t xml:space="preserve">EBE consolidé</t>
  </si>
  <si>
    <t xml:space="preserve">EBE consolidé / CA</t>
  </si>
  <si>
    <t xml:space="preserve">Réserve de renouvellement (mobilier, équipements)</t>
  </si>
  <si>
    <t xml:space="preserve">Dette et impôt sur les sociétés</t>
  </si>
  <si>
    <t xml:space="preserve">Annuité du prêt des murs</t>
  </si>
  <si>
    <t xml:space="preserve">   dont intérêts</t>
  </si>
  <si>
    <t xml:space="preserve">Annuité du prêt du fonds et des aménagements</t>
  </si>
  <si>
    <t xml:space="preserve">Service de la dette total</t>
  </si>
  <si>
    <t xml:space="preserve">Amortissement des aménagements (société d'exploitation)</t>
  </si>
  <si>
    <t xml:space="preserve">Résultat imposable de la société d'exploitation (simplifié)</t>
  </si>
  <si>
    <t xml:space="preserve">Impôt sur les sociétés, société d'exploitation</t>
  </si>
  <si>
    <t xml:space="preserve">Amortissement de l'immeuble et des travaux (société des murs)</t>
  </si>
  <si>
    <t xml:space="preserve">Résultat imposable de la société des murs (simplifié)</t>
  </si>
  <si>
    <t xml:space="preserve">Impôt sur les sociétés, société des murs</t>
  </si>
  <si>
    <t xml:space="preserve">Trésorerie (vue consolidée)</t>
  </si>
  <si>
    <t xml:space="preserve">Flux de trésorerie après dette, impôt et renouvellement</t>
  </si>
  <si>
    <t xml:space="preserve">Trésorerie cumulée (avec la trésorerie de démarrage)</t>
  </si>
  <si>
    <t xml:space="preserve">Simplifications : impôt sans report des déficits ; réserve de renouvellement non déduite de l'impôt ; mensualités constantes ; taxe de séjour hors CA (collectée pour la commune).</t>
  </si>
  <si>
    <t xml:space="preserve">Les charges de structure ne baissent pas quand l'activité baisse : c'est ce qui fait le point mort (onglet Indicateurs).</t>
  </si>
  <si>
    <t xml:space="preserve">Financement · Hôtel-restaurant de 25 chambres</t>
  </si>
  <si>
    <t xml:space="preserve">Besoins, apport, prêts et tableau d'amortissement. Mensualités constantes, présentées en cumul annuel.</t>
  </si>
  <si>
    <t xml:space="preserve">Valeur de l'établissement (méthodes par le rendement et par le chiffre d'affaires)</t>
  </si>
  <si>
    <t xml:space="preserve">Lien vers les hypothèses : année de croisière, prix de l'année 1.</t>
  </si>
  <si>
    <t xml:space="preserve">Loyer annuel de référence</t>
  </si>
  <si>
    <t xml:space="preserve">Prix des murs (loyer / taux de capitalisation)</t>
  </si>
  <si>
    <t xml:space="preserve">Méthode par le rendement [S18].</t>
  </si>
  <si>
    <t xml:space="preserve">Prix du fonds de commerce (coefficient × CA de référence)</t>
  </si>
  <si>
    <t xml:space="preserve">Méthode par le chiffre d'affaires [S19].</t>
  </si>
  <si>
    <t xml:space="preserve">Prix des murs et du fonds</t>
  </si>
  <si>
    <t xml:space="preserve">Prix des murs et du fonds par chambre</t>
  </si>
  <si>
    <t xml:space="preserve">Repère : 226 k€ en moyenne en régions au 1er semestre 2026 (quartiles 110 à 302 k€), transactions surtout institutionnelles (Cushman &amp; Wakefield) [S20]. Aucun prix public pour les petits hôtels indépendants.</t>
  </si>
  <si>
    <t xml:space="preserve">Prix du fonds / EBE après loyer de l'année 3</t>
  </si>
  <si>
    <t xml:space="preserve">Repère : médiane 8,2 x, un cas sur deux entre 4,7 et 15 x (cessions 2008 à 2019) [S19]. Contrôle de cohérence, non utilisé dans les calculs.</t>
  </si>
  <si>
    <t xml:space="preserve">Besoins de la société des murs (SCI à l'impôt sur les sociétés)</t>
  </si>
  <si>
    <t xml:space="preserve">Prix des murs</t>
  </si>
  <si>
    <t xml:space="preserve">Frais de notaire (droits de mutation, émoluments, débours)</t>
  </si>
  <si>
    <t xml:space="preserve">Prix × taux retenu dans les hypothèses (7,8 % par défaut, ordre de grandeur dans l'ancien en 2026) [S22] [S23] [S55].</t>
  </si>
  <si>
    <t xml:space="preserve">Honoraires d'agence sur les murs</t>
  </si>
  <si>
    <t xml:space="preserve">Prix × taux d'honoraires (hypothèse illustrative) [S57] [S58].</t>
  </si>
  <si>
    <t xml:space="preserve">Audits avant l'achat des murs (optionnel)</t>
  </si>
  <si>
    <t xml:space="preserve">Travaux portés par les murs</t>
  </si>
  <si>
    <t xml:space="preserve">Chambres × coût par chambre.</t>
  </si>
  <si>
    <t xml:space="preserve">Frais de dossier et de garantie</t>
  </si>
  <si>
    <t xml:space="preserve">En % du prêt, calculé sur le besoin avant frais.</t>
  </si>
  <si>
    <t xml:space="preserve">Besoin de la société des murs</t>
  </si>
  <si>
    <t xml:space="preserve">Besoins de la société d'exploitation (SAS)</t>
  </si>
  <si>
    <t xml:space="preserve">Prix du fonds de commerce</t>
  </si>
  <si>
    <t xml:space="preserve">Droits d'enregistrement sur la cession du fonds</t>
  </si>
  <si>
    <t xml:space="preserve">Barème par tranches : 0 % jusqu'à 23 000 €, 3 % jusqu'à 200 000 €, 5 % au-delà [S21] [S59].</t>
  </si>
  <si>
    <t xml:space="preserve">Honoraires d'agence ou d'intermédiaire sur le fonds</t>
  </si>
  <si>
    <t xml:space="preserve">Prix × taux d'honoraires (hypothèse illustrative dans la fourchette de 5 à 10 %) [S56].</t>
  </si>
  <si>
    <t xml:space="preserve">Honoraires et frais d'acte</t>
  </si>
  <si>
    <t xml:space="preserve">Audits avant l'achat du fonds (optionnel)</t>
  </si>
  <si>
    <t xml:space="preserve">Aménagements de l'exploitant</t>
  </si>
  <si>
    <t xml:space="preserve">Chambres × coût par chambre, plus le forfait.</t>
  </si>
  <si>
    <t xml:space="preserve">Trésorerie de démarrage</t>
  </si>
  <si>
    <t xml:space="preserve">Besoin de la société d'exploitation</t>
  </si>
  <si>
    <t xml:space="preserve">Investissement total</t>
  </si>
  <si>
    <t xml:space="preserve">Investissement total par chambre</t>
  </si>
  <si>
    <t xml:space="preserve">Récapitulatif du coût total du projet (les deux sociétés)</t>
  </si>
  <si>
    <t xml:space="preserve">Prix d'achat des murs et du fonds</t>
  </si>
  <si>
    <t xml:space="preserve">Frais d'acquisition (notaire, droits, agences, actes, audits)</t>
  </si>
  <si>
    <t xml:space="preserve">Frais d'acquisition en % des prix d'achat</t>
  </si>
  <si>
    <t xml:space="preserve">Travaux et aménagements</t>
  </si>
  <si>
    <t xml:space="preserve">Frais de dossier et de garantie des prêts</t>
  </si>
  <si>
    <t xml:space="preserve">Coût total du projet (contrôle)</t>
  </si>
  <si>
    <t xml:space="preserve">Doit égaler l'investissement total ci-dessus. Les deux prêts et les apports se calculent sur ces montants.</t>
  </si>
  <si>
    <t xml:space="preserve">Ressources</t>
  </si>
  <si>
    <t xml:space="preserve">Apport à la société des murs</t>
  </si>
  <si>
    <t xml:space="preserve">Prêt des murs</t>
  </si>
  <si>
    <t xml:space="preserve">Garanties usuelles : hypothèque, caution du dirigeant [S27].</t>
  </si>
  <si>
    <t xml:space="preserve">Apport à la société d'exploitation</t>
  </si>
  <si>
    <t xml:space="preserve">Prêt du fonds et des aménagements</t>
  </si>
  <si>
    <t xml:space="preserve">Garanties usuelles : nantissement du fonds, caution, garantie Bpifrance ou SIAGI [S29] [S40] [S42].</t>
  </si>
  <si>
    <t xml:space="preserve">Apport total</t>
  </si>
  <si>
    <t xml:space="preserve">Prêts bancaires</t>
  </si>
  <si>
    <t xml:space="preserve">Part de l'apport dans le besoin total</t>
  </si>
  <si>
    <t xml:space="preserve">Conditions des deux prêts</t>
  </si>
  <si>
    <t xml:space="preserve">Prêt des murs : taux annuel</t>
  </si>
  <si>
    <t xml:space="preserve">Taux de référence Banque de France augmenté de la majoration retenue (onglet Hypothèses).</t>
  </si>
  <si>
    <t xml:space="preserve">Prêt des murs : durée</t>
  </si>
  <si>
    <t xml:space="preserve">Prêt des murs : mensualité</t>
  </si>
  <si>
    <t xml:space="preserve">Fonction PMT (VPM) : mensualité constante.</t>
  </si>
  <si>
    <t xml:space="preserve">Prêt des murs : annuité</t>
  </si>
  <si>
    <t xml:space="preserve">Prêt des murs : coût total des intérêts</t>
  </si>
  <si>
    <t xml:space="preserve">Prêt du fonds et des aménagements : taux annuel</t>
  </si>
  <si>
    <t xml:space="preserve">Prêt du fonds et des aménagements : durée</t>
  </si>
  <si>
    <t xml:space="preserve">Prêt du fonds et des aménagements : mensualité</t>
  </si>
  <si>
    <t xml:space="preserve">Prêt du fonds et des aménagements : annuité</t>
  </si>
  <si>
    <t xml:space="preserve">Prêt du fonds et des aménagements : coût total des intérêts</t>
  </si>
  <si>
    <t xml:space="preserve">Tableau d'amortissement annuel (années 1 à 10)</t>
  </si>
  <si>
    <t xml:space="preserve">Prêt des murs : intérêts</t>
  </si>
  <si>
    <t xml:space="preserve">Prêt des murs : capital remboursé</t>
  </si>
  <si>
    <t xml:space="preserve">Prêt des murs : capital restant dû en fin d'année</t>
  </si>
  <si>
    <t xml:space="preserve">Prêt du fonds et des aménagements : intérêts</t>
  </si>
  <si>
    <t xml:space="preserve">Prêt du fonds et des aménagements : capital remboursé</t>
  </si>
  <si>
    <t xml:space="preserve">Prêt du fonds et des aménagements : capital restant dû en fin d'année</t>
  </si>
  <si>
    <t xml:space="preserve">Service de la dette total (annuités)</t>
  </si>
  <si>
    <t xml:space="preserve">Indicateurs · Hôtel-restaurant de 25 chambres</t>
  </si>
  <si>
    <t xml:space="preserve">Synthèse de l'année 3 (année de croisière), ratios de couverture de la dette, point mort, trésorerie et délai de retour.</t>
  </si>
  <si>
    <t xml:space="preserve">Synthèse de l'année 3</t>
  </si>
  <si>
    <t xml:space="preserve">EBE consolidé (les deux sociétés)</t>
  </si>
  <si>
    <t xml:space="preserve">Loyer neutralisé, charges de propriétaire déduites.</t>
  </si>
  <si>
    <t xml:space="preserve">EBE de la société d'exploitation, après loyer</t>
  </si>
  <si>
    <t xml:space="preserve">Repère Banque de France, hébergement (NAF 55), exercice 2023 : excédent brut global / CA, Q1 9,3 %, médiane 19,3 %, Q3 32,0 % [S6].</t>
  </si>
  <si>
    <t xml:space="preserve">Service de la dette total (annuités des deux prêts)</t>
  </si>
  <si>
    <t xml:space="preserve">Couverture consolidée de la dette (EBE consolidé / annuités)</t>
  </si>
  <si>
    <t xml:space="preserve">Sous 1, l'activité ne paie pas la dette. Seuil de lecture : voir Hypothèses (aucun seuil bancaire publié).</t>
  </si>
  <si>
    <t xml:space="preserve">Couverture, société d'exploitation (EBE après loyer / annuité du fonds)</t>
  </si>
  <si>
    <t xml:space="preserve">Couverture, société des murs (loyer net / annuité des murs)</t>
  </si>
  <si>
    <t xml:space="preserve">Avec un rendement de 7,5 % et 80 % de dette, la société des murs couvre à peine son prêt : c'est l'exploitation qui porte l'ensemble.</t>
  </si>
  <si>
    <t xml:space="preserve">Taux d'occupation (365 jours)</t>
  </si>
  <si>
    <t xml:space="preserve">Marge du restaurant sur charges variables (indépendante de l'occupation)</t>
  </si>
  <si>
    <t xml:space="preserve">Le restaurant vend aussi à une clientèle extérieure : sa marge est traitée comme fixe dans le calcul du point mort.</t>
  </si>
  <si>
    <t xml:space="preserve">Marge sur charges variables par point d'occupation (calcul)</t>
  </si>
  <si>
    <t xml:space="preserve">Recettes liées aux chambres moins leurs charges variables, rapportées au taux d'occupation (approximation linéaire).</t>
  </si>
  <si>
    <t xml:space="preserve">Taux d'occupation point mort, avant dette</t>
  </si>
  <si>
    <t xml:space="preserve">Occupation qui couvre les charges de structure des deux sociétés (loyer neutralisé).</t>
  </si>
  <si>
    <t xml:space="preserve">Taux d'occupation point mort, dette comprise</t>
  </si>
  <si>
    <t xml:space="preserve">Occupation qui couvre aussi les annuités des deux prêts (avant impôt et réserve de renouvellement).</t>
  </si>
  <si>
    <t xml:space="preserve">Prix, frais d'acquisition, travaux, trésorerie de démarrage et frais de dossier (récapitulatif dans l'onglet Financement).</t>
  </si>
  <si>
    <t xml:space="preserve">Dont frais d'acquisition (notaire, droits, agences, actes, audits)</t>
  </si>
  <si>
    <t xml:space="preserve">Repère : 226 k€ en régions au 1er semestre 2026, transactions surtout institutionnelles [S20].</t>
  </si>
  <si>
    <t xml:space="preserve">Année par année</t>
  </si>
  <si>
    <t xml:space="preserve">Couverture consolidée de la dette</t>
  </si>
  <si>
    <t xml:space="preserve">Couverture, société d'exploitation</t>
  </si>
  <si>
    <t xml:space="preserve">Couverture, société des murs</t>
  </si>
  <si>
    <t xml:space="preserve">Flux d'exploitation avant financement (EBE consolidé, réserve, impôt)</t>
  </si>
  <si>
    <t xml:space="preserve">Lecture de la couverture</t>
  </si>
  <si>
    <t xml:space="preserve">Flux de trésorerie après dette</t>
  </si>
  <si>
    <t xml:space="preserve">Flux cumulés depuis l'année 1</t>
  </si>
  <si>
    <t xml:space="preserve">Retour sur apport</t>
  </si>
  <si>
    <t xml:space="preserve">Flux d'exploitation annuel moyen avant financement</t>
  </si>
  <si>
    <t xml:space="preserve">Délai de récupération simple de l'investissement</t>
  </si>
  <si>
    <t xml:space="preserve">Investissement / flux d'exploitation annuel moyen avant financement (sans actualisation ni revente).</t>
  </si>
  <si>
    <t xml:space="preserve">Flux annuel moyen après dette sur 10 ans</t>
  </si>
  <si>
    <t xml:space="preserve">Flux annuel moyen / apport</t>
  </si>
  <si>
    <t xml:space="preserve">Rendement simple de l'apport, avant toute plus-value de revente.</t>
  </si>
  <si>
    <t xml:space="preserve">Délai de retour de l'apport par les flux après dette</t>
  </si>
  <si>
    <t xml:space="preserve">Première année où les flux cumulés dépassent l'apport (hors revente).</t>
  </si>
  <si>
    <t xml:space="preserve">Comment lire : la couverture de la dette rapporte l'EBE aux annuités. Le point mort donne le taux d'occupation en dessous duquel l'activité ne couvre plus ses charges fixes, puis ses annuités. Comparez ces chiffres à vos propres devis et aux propositions de vos banques : aucun seuil bancaire public n'existe pour l'hôtellerie indépendante.</t>
  </si>
  <si>
    <t xml:space="preserve">Conseils · Hôtel-restaurant de 25 chambres</t>
  </si>
  <si>
    <t xml:space="preserve">Listes de contrôle tirées des guides publics. Chaque point renvoie à sa source (onglet Sources).</t>
  </si>
  <si>
    <t xml:space="preserve">1. Avant de signer</t>
  </si>
  <si>
    <t xml:space="preserve">Point</t>
  </si>
  <si>
    <t xml:space="preserve">Ce qu'il faut vérifier ou faire</t>
  </si>
  <si>
    <t xml:space="preserve">Source</t>
  </si>
  <si>
    <t xml:space="preserve">L'activité réelle</t>
  </si>
  <si>
    <t xml:space="preserve">Demandez les trois derniers bilans et l'activité mois par mois (taux d'occupation, prix moyen, RevPAR, part des agences en ligne). Comparez aux observatoires publics de l'onglet Hypothèses, en gardant en tête que les panels portent surtout sur des hôtels de chaîne : en Gironde, les indépendants occupent 57,1 % de leurs chambres contre 65,0 % pour les chaînes (Insee, 2025).</t>
  </si>
  <si>
    <t xml:space="preserve">[S1] [S5]</t>
  </si>
  <si>
    <t xml:space="preserve">Les travaux</t>
  </si>
  <si>
    <t xml:space="preserve">Faites chiffrer les travaux par des devis et séparez le gros œuvre (à la charge des murs) de l'aménagement (à la charge de l'exploitant). Les repères publics ne couvrent que l'aménagement : 5 000 à 15 000 € par chambre en 2 et 3 étoiles, 15 000 à 35 000 € en 4 étoiles.</t>
  </si>
  <si>
    <t xml:space="preserve">[S24]</t>
  </si>
  <si>
    <t xml:space="preserve">La sécurité incendie</t>
  </si>
  <si>
    <t xml:space="preserve">Un hôtel est un établissement recevant du public de type O, un restaurant de type N. Demandez le registre de sécurité et le dernier procès-verbal de la commission de sécurité ; les extincteurs se vérifient chaque année. La commission peut ordonner la fermeture.</t>
  </si>
  <si>
    <t xml:space="preserve">[S38]</t>
  </si>
  <si>
    <t xml:space="preserve">L'accessibilité</t>
  </si>
  <si>
    <t xml:space="preserve">Vérifiez l'accessibilité des parties communes, d'un sanitaire au moins et des chambres adaptées, ainsi que le registre public d'accessibilité. Le nombre de chambres adaptées exigé est fixé par arrêté : faites-le confirmer par un contrôleur.</t>
  </si>
  <si>
    <t xml:space="preserve">Le bail commercial</t>
  </si>
  <si>
    <t xml:space="preserve">Si vous ne rachetez pas les murs : durée, loyer, indexation, répartition des charges et des gros travaux. Taux d'effort courant de 10 à 15 % du CA HT. Entre deux sociétés liées, le loyer doit rester un loyer de marché.</t>
  </si>
  <si>
    <t xml:space="preserve">[S17]</t>
  </si>
  <si>
    <t xml:space="preserve">Le classement</t>
  </si>
  <si>
    <t xml:space="preserve">Démarche volontaire, valable 5 ans : visite d'un organisme accrédité, dossier sous 3 mois, décision d'Atout France sous 1 mois. Grille en vigueur depuis le 1er avril 2022 ; visite mystère en plus pour 4 et 5 étoiles. Vérifiez la date d'échéance du classement repris.</t>
  </si>
  <si>
    <t xml:space="preserve">[S37]</t>
  </si>
  <si>
    <t xml:space="preserve">Le prix</t>
  </si>
  <si>
    <t xml:space="preserve">Croisez deux méthodes : par le CA (médiane de 78,5 % du CA pour un fonds) et par l'EBE (médiane de 8,2 fois), puis par le rendement pour les murs (7 à 8 % en province). Ces repères datent de 2008 à 2019 pour le fonds et de 2023 pour les murs.</t>
  </si>
  <si>
    <t xml:space="preserve">[S18] [S19]</t>
  </si>
  <si>
    <t xml:space="preserve">2. Les démarches</t>
  </si>
  <si>
    <t xml:space="preserve">Droits et frais</t>
  </si>
  <si>
    <t xml:space="preserve">Droits sur la cession du fonds : 0 % jusqu'à 23 000 €, 3 % jusqu'à 200 000 €, 5 % au-delà. Murs : 6,3185 % de droits au taux départemental de 5 % (88 départements au 1er juin 2026), plus émoluments, contribution de sécurité immobilière et débours, soit 7 à 8 % du prix. Honoraires d'agence : barème affiché par chaque agence, négociable ; vérifiez qui les paie.</t>
  </si>
  <si>
    <t xml:space="preserve">[S21] [S22] [S23] [S55] [S58]</t>
  </si>
  <si>
    <t xml:space="preserve">Licence</t>
  </si>
  <si>
    <t xml:space="preserve">Petite licence restaurant (boissons jusqu'à 18°) ou licence restaurant pour accompagner les repas ; licence III ou IV pour un bar ouvert à tous. Déclaration en mairie au moins 15 jours avant l'ouverture ou la mutation (Cerfa 11542), récépissé Cerfa 11543.</t>
  </si>
  <si>
    <t xml:space="preserve">[S36]</t>
  </si>
  <si>
    <t xml:space="preserve">Permis d'exploitation</t>
  </si>
  <si>
    <t xml:space="preserve">Obligatoire pour vendre de l'alcool sur place : formation d'au moins 20 heures sur 3 jours, valable 10 ans, renouvelée par 6 heures. Exemple de tarif : 450 € HT à la CCI de la Vienne en 2026.</t>
  </si>
  <si>
    <t xml:space="preserve">[S36] [S53]</t>
  </si>
  <si>
    <t xml:space="preserve">TVA</t>
  </si>
  <si>
    <t xml:space="preserve">10 % sur les nuitées et la restauration sur place, 20 % sur les boissons alcoolisées.</t>
  </si>
  <si>
    <t xml:space="preserve">[S31] [S32]</t>
  </si>
  <si>
    <t xml:space="preserve">Taxe de séjour</t>
  </si>
  <si>
    <t xml:space="preserve">Barème 2026 par personne et par nuit : 0,30 à 1,00 € en 2 étoiles, 0,50 à 1,70 € en 3 étoiles, 0,70 à 2,60 € en 4 étoiles. La commune fixe le tarif et le régime (réel ou forfait). Elle s'ajoute au prix et ne fait pas partie du CA.</t>
  </si>
  <si>
    <t xml:space="preserve">[S39]</t>
  </si>
  <si>
    <t xml:space="preserve">Salaires</t>
  </si>
  <si>
    <t xml:space="preserve">Convention collective des hôtels, cafés, restaurants (IDCC 1979). SMIC à 12,31 € brut de l'heure depuis le 1er juin 2026 : les premiers niveaux de la grille sont alignés dessus.</t>
  </si>
  <si>
    <t xml:space="preserve">[S16]</t>
  </si>
  <si>
    <t xml:space="preserve">3. Le financement</t>
  </si>
  <si>
    <t xml:space="preserve">L'apport</t>
  </si>
  <si>
    <t xml:space="preserve">30 % sur le fonds de commerce ; sur les murs, 10 % au minimum selon MetLife, 20 à 30 % selon Keobiz. Un dossier qui suppose moins d'apport doit s'appuyer sur une garantie, un prêt public ou un crédit-vendeur (remboursé en 3 ans au plus).</t>
  </si>
  <si>
    <t xml:space="preserve">[S27] [S28] [S29]</t>
  </si>
  <si>
    <t xml:space="preserve">Les durées</t>
  </si>
  <si>
    <t xml:space="preserve">15 à 20 ans pour les murs, 7 à 10 ans pour le fonds et les aménagements. Une seule durée longue pour l'ensemble sous-estime les annuités des premières années.</t>
  </si>
  <si>
    <t xml:space="preserve">Le taux</t>
  </si>
  <si>
    <t xml:space="preserve">Nouveaux crédits aux PME : 3,71 % en août 2026 ; crédits à l'habitat : 3,32 %. Aucune statistique ne donne le taux d'un prêt hôtelier à taux fixe long : demandez plusieurs offres.</t>
  </si>
  <si>
    <t xml:space="preserve">[S25] [S26]</t>
  </si>
  <si>
    <t xml:space="preserve">Ce que regarde la banque</t>
  </si>
  <si>
    <t xml:space="preserve">Repères génériques cités par un assureur emprunteur : capacité d'autofinancement d'environ 5 % du CA, EBE supérieur à 8 fois les frais financiers pour un dossier solide. Présentez un prévisionnel mois par mois qui montre la basse saison.</t>
  </si>
  <si>
    <t xml:space="preserve">[S52]</t>
  </si>
  <si>
    <t xml:space="preserve">Le contexte</t>
  </si>
  <si>
    <t xml:space="preserve">9 721 défaillances en hébergement-restauration sur douze mois à fin juillet 2026 (+7,4 %) : les banques regardent de près la trésorerie de basse saison.</t>
  </si>
  <si>
    <t xml:space="preserve">[S51]</t>
  </si>
  <si>
    <t xml:space="preserve">4. Garanties et prêts publics</t>
  </si>
  <si>
    <t xml:space="preserve">Bpifrance, garantie Création</t>
  </si>
  <si>
    <t xml:space="preserve">Jusqu'à 60 % du prêt pour une entreprise de moins de 3 ans (80 % en Création verte), y compris pour la reprise d'un fonds ; jusqu'à 200 000 € sans instruction préalable par Bpifrance.</t>
  </si>
  <si>
    <t xml:space="preserve">[S40]</t>
  </si>
  <si>
    <t xml:space="preserve">Bpifrance, garantie Transmission</t>
  </si>
  <si>
    <t xml:space="preserve">50 % du prêt de reprise, jusqu'à 70 % avec la Région ; variante verte jusqu'à 80 % sur 2 à 7 ans.</t>
  </si>
  <si>
    <t xml:space="preserve">[S44]</t>
  </si>
  <si>
    <t xml:space="preserve">SIAGI</t>
  </si>
  <si>
    <t xml:space="preserve">Jusqu'à 50 % seule, 80 % avec une co-garantie (Bpifrance, collectivité, FEI) ; crédits de 5 000 € à 4 M€ sur 24 à 180 mois ; entreprises de moins de 50 salariés.</t>
  </si>
  <si>
    <t xml:space="preserve">[S42]</t>
  </si>
  <si>
    <t xml:space="preserve">France Active</t>
  </si>
  <si>
    <t xml:space="preserve">65 à 80 % selon la garantie, 50 000 à 200 000 € garantis au plus, commission de 2,5 % du montant garanti ; cautions personnelles exclues ou limitées. Réservé à certains publics (création de son emploi, quartiers prioritaires, économie sociale et solidaire).</t>
  </si>
  <si>
    <t xml:space="preserve">[S41]</t>
  </si>
  <si>
    <t xml:space="preserve">Bpifrance, Prêt Tourisme</t>
  </si>
  <si>
    <t xml:space="preserve">50 000 € à 2 M€ sur 3 à 10 ans, à taux fixe, à parité avec un prêt bancaire ou des fonds propres, pour les entreprises du tourisme de plus de 3 ans : utile pour des travaux après la reprise.</t>
  </si>
  <si>
    <t xml:space="preserve">[S43]</t>
  </si>
  <si>
    <t xml:space="preserve">5. Aides des régions de la côte ouest</t>
  </si>
  <si>
    <t xml:space="preserve">Région</t>
  </si>
  <si>
    <t xml:space="preserve">Dispositif et conditions principales</t>
  </si>
  <si>
    <t xml:space="preserve">Bretagne</t>
  </si>
  <si>
    <t xml:space="preserve">PASS Investissement entreprises touristiques : hôtels classés 1 à 5 étoiles après travaux, SCI éligibles, dépenses de 100 000 € au moins ; prêt jusqu'à 150 000 € à 0 % ou 200 000 € à 1,5 %, 20 % des dépenses au plus, sur 5 ans dont 2 de différé. Volet reprise : prêt à taux zéro jusqu'à 80 000 €. Fiches de 2022 : ouverture en 2026 à confirmer auprès de la Région.</t>
  </si>
  <si>
    <t xml:space="preserve">[S45]</t>
  </si>
  <si>
    <t xml:space="preserve">Normandie</t>
  </si>
  <si>
    <t xml:space="preserve">Impulsion Développement, annexe tourisme (règlement applicable au 1er janvier 2026) : hôtels et hôtels-restaurants, SCI détenues par les exploitants ; programme de 300 000 € au moins sur 3 ans ; prêt à taux zéro sans garantie jusqu'à 25 % des dépenses, plafonné à 1 M€ et aux fonds propres, sur 7 ans dont 2 de différé ; label Qualité Tourisme exigé ou engagé.</t>
  </si>
  <si>
    <t xml:space="preserve">[S46]</t>
  </si>
  <si>
    <t xml:space="preserve">Pays de la Loire</t>
  </si>
  <si>
    <t xml:space="preserve">AGIR Tourisme : dépenses de 30 000 € au moins pour l'hôtellerie ; prêt régional à 2,4 % sur 2 à 10 ans, différé de 12 à 36 mois possible ; prêt à 1,2 % et subvention pour l'accessibilité au-delà des normes ou la transition écologique ; engagement écologique demandé.</t>
  </si>
  <si>
    <t xml:space="preserve">[S47]</t>
  </si>
  <si>
    <t xml:space="preserve">Nouvelle-Aquitaine</t>
  </si>
  <si>
    <t xml:space="preserve">Aide à l'hôtellerie indépendante : hôtels de 2 à 5 étoiles après travaux, ouverts 6 mois par an, SCI exclues ; projet de 50 000 à 300 000 € HT sur le littoral et la métropole bordelaise (400 000 € ailleurs) ; subvention jusqu'à 15 % ; maintien de l'activité 5 ans.</t>
  </si>
  <si>
    <t xml:space="preserve">[S48]</t>
  </si>
  <si>
    <t xml:space="preserve">6. Après la reprise</t>
  </si>
  <si>
    <t xml:space="preserve">Suivre les bons chiffres</t>
  </si>
  <si>
    <t xml:space="preserve">Chaque mois : taux d'occupation, prix moyen, RevPAR, part et coût des agences en ligne, masse salariale en % du CA. Remplacez les hypothèses de ce fichier par vos réalisations.</t>
  </si>
  <si>
    <t xml:space="preserve">[S1] [S11]</t>
  </si>
  <si>
    <t xml:space="preserve">Renouveler</t>
  </si>
  <si>
    <t xml:space="preserve">Provisionnez chaque année de quoi renouveler mobilier et équipements : 4 % du CA est un minimum, les dépenses constatées sont plus proches de 7 à 8 %.</t>
  </si>
  <si>
    <t xml:space="preserve">[S14]</t>
  </si>
  <si>
    <t xml:space="preserve">Sources · Hôtel-restaurant de 25 chambres</t>
  </si>
  <si>
    <t xml:space="preserve">Organisme, document, date de publication ou de mise à jour, adresse. Consultées entre le 9 et le 12 octobre 2026.</t>
  </si>
  <si>
    <t xml:space="preserve">Réf.</t>
  </si>
  <si>
    <t xml:space="preserve">Organisme</t>
  </si>
  <si>
    <t xml:space="preserve">Document</t>
  </si>
  <si>
    <t xml:space="preserve">Date</t>
  </si>
  <si>
    <t xml:space="preserve">Adresse</t>
  </si>
  <si>
    <t xml:space="preserve">S1</t>
  </si>
  <si>
    <t xml:space="preserve">UMIH-GNC et MKG</t>
  </si>
  <si>
    <t xml:space="preserve">Observatoire mensuel des performances hôtelières, décembre 2025 (cumul 2025)</t>
  </si>
  <si>
    <t xml:space="preserve">janvier 2026</t>
  </si>
  <si>
    <t xml:space="preserve">https://www.umih.fr/assets/files/site/ressources/observatoires-et-etudes/Observatoire_mensuel_des_performances_hotelieres_UMIH___GNC_Decembre_2025.pdf</t>
  </si>
  <si>
    <t xml:space="preserve">S2</t>
  </si>
  <si>
    <t xml:space="preserve">Observatoire mensuel des performances hôtelières, août 2025</t>
  </si>
  <si>
    <t xml:space="preserve">septembre 2025</t>
  </si>
  <si>
    <t xml:space="preserve">https://www.umih.fr/assets/files/site/ressources/observatoires-et-etudes/Observatoire_mensuel_des_performances_hotelieres_UMIH___GNC___Aout_2025.pdf</t>
  </si>
  <si>
    <t xml:space="preserve">S3</t>
  </si>
  <si>
    <t xml:space="preserve">Observatoire mensuel des performances hôtelières, janvier 2025</t>
  </si>
  <si>
    <t xml:space="preserve">février 2025</t>
  </si>
  <si>
    <t xml:space="preserve">https://www.umih.fr/assets/files/site/ressources/observatoires-et-etudes/Observatoire_mensuel_des_performances_hotelieres_UMIH___GNC_Janvier2025.pdf</t>
  </si>
  <si>
    <t xml:space="preserve">S4</t>
  </si>
  <si>
    <t xml:space="preserve">Normandie Tourisme et Insee</t>
  </si>
  <si>
    <t xml:space="preserve">Bilan 2025 : la fréquentation dans l'hôtellerie (taux d'occupation mensuels et par catégorie)</t>
  </si>
  <si>
    <t xml:space="preserve">avril 2026</t>
  </si>
  <si>
    <t xml:space="preserve">https://pro.normandie-tourisme.fr/app/uploads/sites/2/2026/04/la-frequentation-dans-lhotellerie-en-2025.pdf</t>
  </si>
  <si>
    <t xml:space="preserve">S5</t>
  </si>
  <si>
    <t xml:space="preserve">Gironde Tourisme</t>
  </si>
  <si>
    <t xml:space="preserve">Bilan touristique 2025 (occupation des hôtels de chaîne et indépendants, enquête Insee)</t>
  </si>
  <si>
    <t xml:space="preserve">mars 2026</t>
  </si>
  <si>
    <t xml:space="preserve">https://www.gironde-tourisme.com/espace-pro/wp-content/uploads/sites/2/2026/03/Gironde-Bilan-touristique-2025.pdf</t>
  </si>
  <si>
    <t xml:space="preserve">S6</t>
  </si>
  <si>
    <t xml:space="preserve">Banque de France</t>
  </si>
  <si>
    <t xml:space="preserve">Fascicule de résultats sectoriels 2023, secteur 55 Hébergement (base FIBEN)</t>
  </si>
  <si>
    <t xml:space="preserve">décembre 2024</t>
  </si>
  <si>
    <t xml:space="preserve">https://www.banque-france.fr/system/files/2024-12/fascicule-sectoriel-hebergement-55-2023.pdf</t>
  </si>
  <si>
    <t xml:space="preserve">S7</t>
  </si>
  <si>
    <t xml:space="preserve">Fascicule de résultats sectoriels 2023, secteur 56 Restauration (base FIBEN)</t>
  </si>
  <si>
    <t xml:space="preserve">https://www.banque-france.fr/system/files/2024-12/fascicule-sectoriel-restauration-56-2023.pdf</t>
  </si>
  <si>
    <t xml:space="preserve">S8</t>
  </si>
  <si>
    <t xml:space="preserve">Keobiz</t>
  </si>
  <si>
    <t xml:space="preserve">Ratio de masse salariale dans les CHR</t>
  </si>
  <si>
    <t xml:space="preserve">mis à jour le 25/07/2026</t>
  </si>
  <si>
    <t xml:space="preserve">https://www.keobiz.fr/fiches-pratiques/ratio-masse-salariale-chr/</t>
  </si>
  <si>
    <t xml:space="preserve">S9</t>
  </si>
  <si>
    <t xml:space="preserve">UMIH</t>
  </si>
  <si>
    <t xml:space="preserve">L'Essentiel n° 40 (charges de personnel de la restauration, exercice 2025)</t>
  </si>
  <si>
    <t xml:space="preserve">juillet-août 2026</t>
  </si>
  <si>
    <t xml:space="preserve">https://www.umih.fr/assets/files/site/medias/l-essentiel-nous-chrd/2026_juillet_aout_L_Essentiel_40.pdf</t>
  </si>
  <si>
    <t xml:space="preserve">S10</t>
  </si>
  <si>
    <t xml:space="preserve">GHR et UMIH</t>
  </si>
  <si>
    <t xml:space="preserve">Communiqué de presse sur l'énergie (achats d'électricité : 3,8 % du CA)</t>
  </si>
  <si>
    <t xml:space="preserve">12/02/2024</t>
  </si>
  <si>
    <t xml:space="preserve">https://www.umih.fr/assets/files/site/medias/communiques-de-presse/2024/240212_CP%20GHR-UMIH%20Energie.pdf</t>
  </si>
  <si>
    <t xml:space="preserve">S11</t>
  </si>
  <si>
    <t xml:space="preserve">HOTREC et HES-SO, via Hospitality ON</t>
  </si>
  <si>
    <t xml:space="preserve">European Hotel Distribution Study 2026 (part des agences en ligne : 29,9 % des nuitées en 2025)</t>
  </si>
  <si>
    <t xml:space="preserve">02/10/2026</t>
  </si>
  <si>
    <t xml:space="preserve">https://hospitality-on.com/fr/distribution/distribution-hoteliere-europeenne-le-duopole-booking-expedia-se-fige-les-rapports-de</t>
  </si>
  <si>
    <t xml:space="preserve">S12</t>
  </si>
  <si>
    <t xml:space="preserve">Journal de l'économie (collectif Contact Hôtels)</t>
  </si>
  <si>
    <t xml:space="preserve">Commission moyenne de 17 % versée aux agences en ligne</t>
  </si>
  <si>
    <t xml:space="preserve">12/08/2021</t>
  </si>
  <si>
    <t xml:space="preserve">https://www.journaldeleconomie.fr/?p=25192</t>
  </si>
  <si>
    <t xml:space="preserve">S13</t>
  </si>
  <si>
    <t xml:space="preserve">Sénat</t>
  </si>
  <si>
    <t xml:space="preserve">Rapport n° 587 (2017-2018), note de synthèse : commissions des plateformes = 4 à 5 % du CA hôtelier</t>
  </si>
  <si>
    <t xml:space="preserve">28/06/2018</t>
  </si>
  <si>
    <t xml:space="preserve">https://www.senat.fr/rap/r17-587/r17-587-syn.pdf</t>
  </si>
  <si>
    <t xml:space="preserve">S14</t>
  </si>
  <si>
    <t xml:space="preserve">ISHC et HAMA, via CoStar</t>
  </si>
  <si>
    <t xml:space="preserve">Réserve de renouvellement usuelle de 4 % du CA (dépenses constatées : 7,6 %)</t>
  </si>
  <si>
    <t xml:space="preserve">13/02/2019</t>
  </si>
  <si>
    <t xml:space="preserve">https://costar.com/article/1366873980/capex-study-authors-4-reserves-not-enough</t>
  </si>
  <si>
    <t xml:space="preserve">S15</t>
  </si>
  <si>
    <t xml:space="preserve">Gouvernement (info.gouv.fr)</t>
  </si>
  <si>
    <t xml:space="preserve">Le SMIC revalorisé au 1er janvier 2026 (12,02 € brut de l'heure)</t>
  </si>
  <si>
    <t xml:space="preserve">15/12/2025</t>
  </si>
  <si>
    <t xml:space="preserve">https://www.info.gouv.fr/actualite/le-smic-revalorise-au-1er-janvier-2026</t>
  </si>
  <si>
    <t xml:space="preserve">S16</t>
  </si>
  <si>
    <t xml:space="preserve">Fédération française du bâtiment</t>
  </si>
  <si>
    <t xml:space="preserve">Augmentation du SMIC au 1er juin 2026 (+2,41 %, 12,31 € de l'heure)</t>
  </si>
  <si>
    <t xml:space="preserve">mai 2026</t>
  </si>
  <si>
    <t xml:space="preserve">https://www.ffbatiment.fr/actualites-batiment/actualite/augmentation-smic-juin-2026</t>
  </si>
  <si>
    <t xml:space="preserve">S17</t>
  </si>
  <si>
    <t xml:space="preserve">L'Hôtellerie Restauration (A. Desthuilliers)</t>
  </si>
  <si>
    <t xml:space="preserve">Évaluation d'un fonds de commerce : la qualité du bail (loyer de 10 à 15 % du CA HT)</t>
  </si>
  <si>
    <t xml:space="preserve">28/08/2024</t>
  </si>
  <si>
    <t xml:space="preserve">https://www.lhotellerie-restauration.fr/sos-experts/comment-evaluer-la-qualite-d-un-bail-dans-le-cadre-d-une-evaluation</t>
  </si>
  <si>
    <t xml:space="preserve">S18</t>
  </si>
  <si>
    <t xml:space="preserve">Extendam, via Hospitality ON</t>
  </si>
  <si>
    <t xml:space="preserve">Taux de capitalisation des murs hôteliers : 7 à 8 % en province</t>
  </si>
  <si>
    <t xml:space="preserve">01/12/2023</t>
  </si>
  <si>
    <t xml:space="preserve">https://hospitality-on.com/fr/investisseurs/bpifrance-et-extendam-reunissent-les-banquiers-pour-parler-investissement-hotelier</t>
  </si>
  <si>
    <t xml:space="preserve">S19</t>
  </si>
  <si>
    <t xml:space="preserve">Favre-Réguillon Expertises et FDC Études</t>
  </si>
  <si>
    <t xml:space="preserve">Valeurs de fonds de commerce d'hôtellerie (cessions 2008 à 2019)</t>
  </si>
  <si>
    <t xml:space="preserve">2020</t>
  </si>
  <si>
    <t xml:space="preserve">https://www.ifc-expertise.fr/valeurs-de-fonds-de-commerce-dhotellerie-entre-mythes-et-realites/</t>
  </si>
  <si>
    <t xml:space="preserve">S20</t>
  </si>
  <si>
    <t xml:space="preserve">Cushman &amp; Wakefield</t>
  </si>
  <si>
    <t xml:space="preserve">Marketbeat Hospitality France, 1er semestre 2026 (prix par chambre)</t>
  </si>
  <si>
    <t xml:space="preserve">2026</t>
  </si>
  <si>
    <t xml:space="preserve">https://www.cushmanwakefield.com/fr-fr/france/insights/paris-marketbeat-hospitality</t>
  </si>
  <si>
    <t xml:space="preserve">S21</t>
  </si>
  <si>
    <t xml:space="preserve">CCI Paris Île-de-France</t>
  </si>
  <si>
    <t xml:space="preserve">Acquisition d'un fonds de commerce : quelles conséquences fiscales ?</t>
  </si>
  <si>
    <t xml:space="preserve">mis à jour le 25/06/2026</t>
  </si>
  <si>
    <t xml:space="preserve">https://www.entreprises.cci-paris-idf.fr/fiches-pratiques/acquisition-dun-fonds-de-commerce-quelles-consequences-fiscales</t>
  </si>
  <si>
    <t xml:space="preserve">S22</t>
  </si>
  <si>
    <t xml:space="preserve">Notaires de France</t>
  </si>
  <si>
    <t xml:space="preserve">Frais de notaire : frais d'achat immobilier (droits, émoluments, contribution de sécurité immobilière)</t>
  </si>
  <si>
    <t xml:space="preserve">mis à jour le 11/02/2026</t>
  </si>
  <si>
    <t xml:space="preserve">https://www.notaires.fr/fr/immobilier-fiscalite/financement/les-frais-dacquisition</t>
  </si>
  <si>
    <t xml:space="preserve">S23</t>
  </si>
  <si>
    <t xml:space="preserve">WebLex, d'après impots.gouv.fr</t>
  </si>
  <si>
    <t xml:space="preserve">Vente d'immeubles : les taux applicables au 1er juin 2026 (88 départements à 5 %)</t>
  </si>
  <si>
    <t xml:space="preserve">12/06/2026</t>
  </si>
  <si>
    <t xml:space="preserve">https://www.weblex.fr/weblex-actualite/vente-d-immeubles-les-taux-et-exonerations-applicables-au-1er-juin-2026-sont-connus</t>
  </si>
  <si>
    <t xml:space="preserve">S24</t>
  </si>
  <si>
    <t xml:space="preserve">Coût d'aménagement d'une chambre d'hôtel</t>
  </si>
  <si>
    <t xml:space="preserve">https://www.keobiz.fr/fiches-pratiques/ouvrir-restaurant-hotel/cout-amenagement-chambre-hotel/</t>
  </si>
  <si>
    <t xml:space="preserve">S25</t>
  </si>
  <si>
    <t xml:space="preserve">Stat Info Financement des entreprises, août 2026 (nouveaux crédits aux PME : 3,71 %)</t>
  </si>
  <si>
    <t xml:space="preserve">08/10/2026</t>
  </si>
  <si>
    <t xml:space="preserve">https://www.banque-france.fr/fr/statistiques/credit/financement-des-entreprises-2026-08</t>
  </si>
  <si>
    <t xml:space="preserve">S26</t>
  </si>
  <si>
    <t xml:space="preserve">Stat Info Crédits aux particuliers, août 2026 (crédits à l'habitat : 3,32 %)</t>
  </si>
  <si>
    <t xml:space="preserve">06/10/2026</t>
  </si>
  <si>
    <t xml:space="preserve">https://www.banque-france.fr/system/files/2026-10/Stat_info_Credits_aux_particuliers_202608.pdf</t>
  </si>
  <si>
    <t xml:space="preserve">S27</t>
  </si>
  <si>
    <t xml:space="preserve">Hôtelier, au moment d'acheter vos murs : prêt bancaire ou crédit-bail ?</t>
  </si>
  <si>
    <t xml:space="preserve">https://www.keobiz.fr/fiches-pratiques/ouvrir-restaurant-hotel/financement-immobilier-credit-bail-hotel/</t>
  </si>
  <si>
    <t xml:space="preserve">S28</t>
  </si>
  <si>
    <t xml:space="preserve">MetLife France</t>
  </si>
  <si>
    <t xml:space="preserve">Comment financer l'achat ou la reprise d'un hôtel ?</t>
  </si>
  <si>
    <t xml:space="preserve">https://www.metlife.fr/assurance-emprunteur/pret-professionnel/financement-hotel/</t>
  </si>
  <si>
    <t xml:space="preserve">S29</t>
  </si>
  <si>
    <t xml:space="preserve">CAFPI</t>
  </si>
  <si>
    <t xml:space="preserve">Financement fonds de commerce : tout ce qu'il faut savoir</t>
  </si>
  <si>
    <t xml:space="preserve">mis à jour le 17/12/2024</t>
  </si>
  <si>
    <t xml:space="preserve">https://www.cafpi.fr/pret-professionnel/murs-professionnels/financement-fonds-de-commerce-tout-ce-qu-il-faut-savoir</t>
  </si>
  <si>
    <t xml:space="preserve">S30</t>
  </si>
  <si>
    <t xml:space="preserve">Service Public Entreprendre</t>
  </si>
  <si>
    <t xml:space="preserve">Impôt sur les sociétés (taux normal et taux réduit)</t>
  </si>
  <si>
    <t xml:space="preserve">vérifié le 17/02/2026</t>
  </si>
  <si>
    <t xml:space="preserve">https://entreprendre.service-public.gouv.fr/vosdroits/F23575</t>
  </si>
  <si>
    <t xml:space="preserve">S31</t>
  </si>
  <si>
    <t xml:space="preserve">Taux de TVA dans le secteur de l'hébergement et de l'hôtellerie</t>
  </si>
  <si>
    <t xml:space="preserve">vérifié le 01/01/2024</t>
  </si>
  <si>
    <t xml:space="preserve">https://entreprendre.service-public.gouv.fr/vosdroits/F37288</t>
  </si>
  <si>
    <t xml:space="preserve">S32</t>
  </si>
  <si>
    <t xml:space="preserve">Service Public (DILA), repris sur justice.fr</t>
  </si>
  <si>
    <t xml:space="preserve">Taux de TVA sur les produits alimentaires et les boissons</t>
  </si>
  <si>
    <t xml:space="preserve">mis à jour le 03/12/2025</t>
  </si>
  <si>
    <t xml:space="preserve">https://www.justice.fr/fiche/taux-tva-produits-alimentaires-boissons</t>
  </si>
  <si>
    <t xml:space="preserve">S33</t>
  </si>
  <si>
    <t xml:space="preserve">Direction générale des Entreprises</t>
  </si>
  <si>
    <t xml:space="preserve">Les chambres d'hôtes (réglementation, fiscalité, cotisations)</t>
  </si>
  <si>
    <t xml:space="preserve">10/02/2025</t>
  </si>
  <si>
    <t xml:space="preserve">https://www.entreprises.gouv.fr/fr/tourisme/conseils-strategie/chambres-d-hotes</t>
  </si>
  <si>
    <t xml:space="preserve">S34</t>
  </si>
  <si>
    <t xml:space="preserve">DGCCRF</t>
  </si>
  <si>
    <t xml:space="preserve">Chambres d'hôtes : quelle est la réglementation applicable ?</t>
  </si>
  <si>
    <t xml:space="preserve">22/04/2026</t>
  </si>
  <si>
    <t xml:space="preserve">https://www.economie.gouv.fr/dgccrf/les-fiches-pratiques-et-les-faq/chambres-dhotes-quelle-est-la-reglementation-applicable</t>
  </si>
  <si>
    <t xml:space="preserve">S35</t>
  </si>
  <si>
    <t xml:space="preserve">Urssaf</t>
  </si>
  <si>
    <t xml:space="preserve">Micro-entrepreneur : l'essentiel du statut (taux de cotisations)</t>
  </si>
  <si>
    <t xml:space="preserve">consulté le 11/10/2026</t>
  </si>
  <si>
    <t xml:space="preserve">https://www.autoentrepreneur.urssaf.fr/portail/accueil/sinformer-sur-le-statut/lessentiel-du-statut.html</t>
  </si>
  <si>
    <t xml:space="preserve">S36</t>
  </si>
  <si>
    <t xml:space="preserve">Licences de débits de boissons et permis d'exploitation</t>
  </si>
  <si>
    <t xml:space="preserve">vérifié le 27/11/2025</t>
  </si>
  <si>
    <t xml:space="preserve">https://entreprendre.service-public.gouv.fr/vosdroits/F22379</t>
  </si>
  <si>
    <t xml:space="preserve">S37</t>
  </si>
  <si>
    <t xml:space="preserve">GHR</t>
  </si>
  <si>
    <t xml:space="preserve">La procédure de classement des hôtels de tourisme</t>
  </si>
  <si>
    <t xml:space="preserve">mis à jour le 10/08/2022</t>
  </si>
  <si>
    <t xml:space="preserve">https://www.ghr.fr/reglementation-fiscalite/les-obligations-dans-les-hotels/la-procedure-de-classement-des-hotels-de-tourisme</t>
  </si>
  <si>
    <t xml:space="preserve">S38</t>
  </si>
  <si>
    <t xml:space="preserve">Visite de conformité ERP : incendie et accessibilité</t>
  </si>
  <si>
    <t xml:space="preserve">https://www.keobiz.fr/fiches-pratiques/ouvrir-restaurant-hotel/normes-erp-incendie-accessibilite/</t>
  </si>
  <si>
    <t xml:space="preserve">S39</t>
  </si>
  <si>
    <t xml:space="preserve">Ministère de l'Économie</t>
  </si>
  <si>
    <t xml:space="preserve">Taxe de séjour : quelles sont les règles ? (barème 2026)</t>
  </si>
  <si>
    <t xml:space="preserve">15/01/2026</t>
  </si>
  <si>
    <t xml:space="preserve">https://www.economie.gouv.fr/entreprises/gerer-sa-fiscalite-et-ses-impots/autres-impots-et-taxes/taxe-de-sejour-quelles-sont-les</t>
  </si>
  <si>
    <t xml:space="preserve">S40</t>
  </si>
  <si>
    <t xml:space="preserve">Bpifrance Création</t>
  </si>
  <si>
    <t xml:space="preserve">Garanties bancaires : de quoi s'agit-il ? (garantie Création)</t>
  </si>
  <si>
    <t xml:space="preserve">2025</t>
  </si>
  <si>
    <t xml:space="preserve">https://bpifrance-creation.fr/moment-de-vie/garanties-bancaires-quoi-sagit-il</t>
  </si>
  <si>
    <t xml:space="preserve">S41</t>
  </si>
  <si>
    <t xml:space="preserve">Les garanties bancaires proposées par France Active</t>
  </si>
  <si>
    <t xml:space="preserve">https://bpifrance-creation.fr/encyclopedie/financements/dispositifs-garantie/garanties-bancaires-proposees-france-active</t>
  </si>
  <si>
    <t xml:space="preserve">S42</t>
  </si>
  <si>
    <t xml:space="preserve">SIAGI, fiche les-aides.fr</t>
  </si>
  <si>
    <t xml:space="preserve">Garantie au cas par cas : étude personnalisée</t>
  </si>
  <si>
    <t xml:space="preserve">mis à jour le 10/02/2026</t>
  </si>
  <si>
    <t xml:space="preserve">https://les-aides.fr/aide/cGU_3w/siagi/garantie-au-cas-par-cas-etude-personnalisee.html</t>
  </si>
  <si>
    <t xml:space="preserve">S43</t>
  </si>
  <si>
    <t xml:space="preserve">Bpifrance, fiche les-aides.fr (CCI)</t>
  </si>
  <si>
    <t xml:space="preserve">Prêt Tourisme 3</t>
  </si>
  <si>
    <t xml:space="preserve">mis à jour le 24/08/2026</t>
  </si>
  <si>
    <t xml:space="preserve">https://les-aides.fr/aide/dFVvIEwMDA6P/bpifrance/pret-tourisme-3.html</t>
  </si>
  <si>
    <t xml:space="preserve">S44</t>
  </si>
  <si>
    <t xml:space="preserve">Garantie Transmission Verte</t>
  </si>
  <si>
    <t xml:space="preserve">mis à jour le 19/08/2026</t>
  </si>
  <si>
    <t xml:space="preserve">https://les-aides.fr/aide/EBN_ICwMDA6P/bpifrance/garantie-transmission.html</t>
  </si>
  <si>
    <t xml:space="preserve">S45</t>
  </si>
  <si>
    <t xml:space="preserve">Région Bretagne, fiche les-aides.fr</t>
  </si>
  <si>
    <t xml:space="preserve">PASS Investissement entreprises touristiques : volet travaux</t>
  </si>
  <si>
    <t xml:space="preserve">fiche du 01/12/2022 (à confirmer)</t>
  </si>
  <si>
    <t xml:space="preserve">https://les-aides.fr/aide/YXA_3w/region-bretagne/pass-investissement-entreprises-touristiques-volet-travaux.html</t>
  </si>
  <si>
    <t xml:space="preserve">S46</t>
  </si>
  <si>
    <t xml:space="preserve">AD Normandie</t>
  </si>
  <si>
    <t xml:space="preserve">Règlement Impulsion Développement (annexe tourisme), applicable au 1er janvier 2026</t>
  </si>
  <si>
    <t xml:space="preserve">novembre 2025</t>
  </si>
  <si>
    <t xml:space="preserve">https://adnormandie.fr/wp-content/uploads/2025/11/REGLEMENT-IMP-DEVELOPPEMENT-.pdf</t>
  </si>
  <si>
    <t xml:space="preserve">S47</t>
  </si>
  <si>
    <t xml:space="preserve">Région Pays de la Loire, fiche les-aides.fr</t>
  </si>
  <si>
    <t xml:space="preserve">AGIR Tourisme</t>
  </si>
  <si>
    <t xml:space="preserve">mis à jour le 04/09/2026</t>
  </si>
  <si>
    <t xml:space="preserve">https://les-aides.fr/aide/cCGP3w/region-des-pays-de-la-loire/agir-tourisme.html</t>
  </si>
  <si>
    <t xml:space="preserve">S48</t>
  </si>
  <si>
    <t xml:space="preserve">Région Nouvelle-Aquitaine, fiche les-aides.fr</t>
  </si>
  <si>
    <t xml:space="preserve">Aide à l'hôtellerie indépendante</t>
  </si>
  <si>
    <t xml:space="preserve">mis à jour le 20/08/2026</t>
  </si>
  <si>
    <t xml:space="preserve">https://les-aides.fr/aide/RjNf3w/region-nouvelle-aquitaine/aide-a-l-hotellerie-independante.html</t>
  </si>
  <si>
    <t xml:space="preserve">S49</t>
  </si>
  <si>
    <t xml:space="preserve">BNP Paribas Real Estate</t>
  </si>
  <si>
    <t xml:space="preserve">Review Hôtellerie T2 2026 (performances du 1er semestre 2026)</t>
  </si>
  <si>
    <t xml:space="preserve">septembre 2026</t>
  </si>
  <si>
    <t xml:space="preserve">https://www.realestate.bnpparibas.fr/media/france/2026-09/REVIEW%20HOTELLERIE%20-%20T2%202026_FR.pdf</t>
  </si>
  <si>
    <t xml:space="preserve">S50</t>
  </si>
  <si>
    <t xml:space="preserve">Banque centrale européenne</t>
  </si>
  <si>
    <t xml:space="preserve">Décisions de politique monétaire et projections d'inflation (3,0 % en 2026, 2,5 % en 2027, 2,1 % en 2028)</t>
  </si>
  <si>
    <t xml:space="preserve">10/09/2026</t>
  </si>
  <si>
    <t xml:space="preserve">https://www.ecb.europa.eu/press/pr/date/2026/html/ecb.mp260910~314e508016.en.html</t>
  </si>
  <si>
    <t xml:space="preserve">S51</t>
  </si>
  <si>
    <t xml:space="preserve">Défaillances d'entreprises, juillet 2026 (9 721 en hébergement-restauration sur 12 mois)</t>
  </si>
  <si>
    <t xml:space="preserve">04/09/2026</t>
  </si>
  <si>
    <t xml:space="preserve">https://www.banque-france.fr/fr/statistiques/entreprises/defaillances-dentreprises-2026-07</t>
  </si>
  <si>
    <t xml:space="preserve">S52</t>
  </si>
  <si>
    <t xml:space="preserve">Que regarde la banque pour un prêt professionnel ?</t>
  </si>
  <si>
    <t xml:space="preserve">https://www.metlife.fr/assurance-emprunteur/pret-professionnel/que-regarde-la-banque/</t>
  </si>
  <si>
    <t xml:space="preserve">S54</t>
  </si>
  <si>
    <t xml:space="preserve">CBRE</t>
  </si>
  <si>
    <t xml:space="preserve">Figures Hôtels France, 1er trimestre 2026 (taux de rendement prime : 5,00 % sous bail commercial)</t>
  </si>
  <si>
    <t xml:space="preserve">https://mktgdocs.cbre.com/2299/be26ab5e-2ab1-44ae-95c6-3b706d129436-2109243007/CBRE_Figures_H_tels_France_T1_.pdf</t>
  </si>
  <si>
    <t xml:space="preserve">S53</t>
  </si>
  <si>
    <t xml:space="preserve">CCI de la Vienne</t>
  </si>
  <si>
    <t xml:space="preserve">Permis d'exploiter 2026 (formation de 2,5 jours, 450 € HT)</t>
  </si>
  <si>
    <t xml:space="preserve">mis à jour le 27/05/2026</t>
  </si>
  <si>
    <t xml:space="preserve">https://www.poitiers.cci.fr/wp-content/uploads/2026/05/2026-permis-dexploiter.pdf</t>
  </si>
  <si>
    <t xml:space="preserve">S55</t>
  </si>
  <si>
    <t xml:space="preserve">UFC-Que Choisir</t>
  </si>
  <si>
    <t xml:space="preserve">Immobilier : les frais de notaire augmentent dans l'ancien (7 à 8 % du prix ; droits portés à 6,31 % ; hausse du 01/04/2025 au 31/03/2028)</t>
  </si>
  <si>
    <t xml:space="preserve">18/06/2025</t>
  </si>
  <si>
    <t xml:space="preserve">https://www.quechoisir.org/actualite-immobilier-les-frais-de-notaire-augmentent-dans-l-ancien-n167712/</t>
  </si>
  <si>
    <t xml:space="preserve">S56</t>
  </si>
  <si>
    <t xml:space="preserve">Point de vente</t>
  </si>
  <si>
    <t xml:space="preserve">Les frais cachés lors de l'achat d'un fonds de commerce (intermédiaire : 5 à 10 % du prix ; avocat : 1 à 3 %)</t>
  </si>
  <si>
    <t xml:space="preserve">24/06/2026</t>
  </si>
  <si>
    <t xml:space="preserve">https://www.pointdevente.fr/fr/actualites/les-frais-caches-lors-de-l-achat-d-un-fonds-de-commerce-a658</t>
  </si>
  <si>
    <t xml:space="preserve">S57</t>
  </si>
  <si>
    <t xml:space="preserve">PAP</t>
  </si>
  <si>
    <t xml:space="preserve">Vente immobilière : les frais d'agence, qui paie, quand et combien ? (3 à 10 % du prix, 4 à 5 % au-delà de 500 000 €)</t>
  </si>
  <si>
    <t xml:space="preserve">mis à jour le 13/01/2025</t>
  </si>
  <si>
    <t xml:space="preserve">https://www.pap.fr/vendeur/vendre-sans-agence/vente-immobiliere-les-frais-d-agence-qui-paie-quand-et-combien/a23282</t>
  </si>
  <si>
    <t xml:space="preserve">S58</t>
  </si>
  <si>
    <t xml:space="preserve">L'agent immobilier : les règles qui encadrent la profession (barème affiché, maximum négociable)</t>
  </si>
  <si>
    <t xml:space="preserve">04/08/2023</t>
  </si>
  <si>
    <t xml:space="preserve">https://www.economie.gouv.fr/dgccrf/les-fiches-pratiques/lagent-immobilier-les-regles-qui-encadrent-la-profession</t>
  </si>
  <si>
    <t xml:space="preserve">S59</t>
  </si>
  <si>
    <t xml:space="preserve">Les droits d'enregistrement en cas de reprise (barème du fonds de commerce : 0 %, 3 %, 5 %)</t>
  </si>
  <si>
    <t xml:space="preserve">juillet 2025</t>
  </si>
  <si>
    <t xml:space="preserve">https://bpifrance-creation.fr/encyclopedie/fiscalite-lentreprise/fiscalite-transmissionreprise/droits-denregistrement-cas-reprise</t>
  </si>
  <si>
    <t xml:space="preserve">S60</t>
  </si>
  <si>
    <t xml:space="preserve">Service Public (DILA)</t>
  </si>
  <si>
    <t xml:space="preserve">Frais de notaire : émoluments, débours, droits et taxes (barème des émoluments)</t>
  </si>
  <si>
    <t xml:space="preserve">vérifié le 05/08/2026</t>
  </si>
  <si>
    <t xml:space="preserve">https://www.service-public.gouv.fr/particuliers/vosdroits/F17701</t>
  </si>
  <si>
    <t xml:space="preserve">Données introuvables en source publique (à remplacer par vos propres données) : taux d'occupation et prix des chambres d'hôtes, prix moyen du petit-déjeuner, ticket moyen d'un restaurant, coût du gros œuvre par chambre, effectif par chambre, ratio de couverture de la dette exigé par les banques, taux d'un prêt hôtelier à taux fixe long, honoraires d'agence moyens sur des murs d'hôtel, coût d'un audit d'acquisition.</t>
  </si>
  <si>
    <t xml:space="preserve">Recherche complète : fichier de travail « 08_scenarios_types.md » de West Coast Hospitality. Les observatoires MKG portent surtout sur des hôtels de chaîne ; les gammes MKG ne correspondent pas aux étoiles.</t>
  </si>
</sst>
</file>

<file path=xl/styles.xml><?xml version="1.0" encoding="utf-8"?>
<styleSheet xmlns="http://schemas.openxmlformats.org/spreadsheetml/2006/main">
  <numFmts count="15">
    <numFmt numFmtId="164" formatCode="General"/>
    <numFmt numFmtId="165" formatCode="#,##0;\(#,##0\);\-"/>
    <numFmt numFmtId="166" formatCode="#,##0.0;\(#,##0.0\);\-"/>
    <numFmt numFmtId="167" formatCode="0.0%;\(0.0%\);\-"/>
    <numFmt numFmtId="168" formatCode="#,##0.00&quot; €&quot;;\(#,##0.00&quot; €)&quot;;\-"/>
    <numFmt numFmtId="169" formatCode="0.00;\(0.00\);\-"/>
    <numFmt numFmtId="170" formatCode="#,##0&quot; €&quot;;\(#,##0&quot; €)&quot;;\-"/>
    <numFmt numFmtId="171" formatCode="#,##0&quot; j&quot;"/>
    <numFmt numFmtId="172" formatCode="0.0000"/>
    <numFmt numFmtId="173" formatCode="0.00%;\(0.00%\);\-"/>
    <numFmt numFmtId="174" formatCode="0.000%;\(0.000%\);\-"/>
    <numFmt numFmtId="175" formatCode="0.00&quot; x&quot;;\(0.00&quot; x)&quot;;\-"/>
    <numFmt numFmtId="176" formatCode="0&quot; ans&quot;"/>
    <numFmt numFmtId="177" formatCode="@"/>
    <numFmt numFmtId="178" formatCode="0.0&quot; ans&quot;;\(0.0&quot; ans)&quot;;\-"/>
  </numFmts>
  <fonts count="35">
    <font>
      <sz val="11"/>
      <color theme="1"/>
      <name val="Calibri"/>
      <family val="2"/>
      <charset val="1"/>
    </font>
    <font>
      <sz val="10"/>
      <name val="Arial"/>
      <family val="0"/>
    </font>
    <font>
      <sz val="10"/>
      <name val="Arial"/>
      <family val="0"/>
    </font>
    <font>
      <sz val="10"/>
      <name val="Arial"/>
      <family val="0"/>
    </font>
    <font>
      <sz val="11"/>
      <color theme="1"/>
      <name val="Arial"/>
      <family val="2"/>
      <charset val="1"/>
    </font>
    <font>
      <b val="true"/>
      <sz val="10"/>
      <color rgb="FF8A6A2F"/>
      <name val="Arial"/>
      <family val="0"/>
      <charset val="1"/>
    </font>
    <font>
      <b val="true"/>
      <sz val="18"/>
      <color rgb="FF09182E"/>
      <name val="Arial"/>
      <family val="0"/>
      <charset val="1"/>
    </font>
    <font>
      <sz val="11"/>
      <color rgb="FF4F5D70"/>
      <name val="Arial"/>
      <family val="0"/>
      <charset val="1"/>
    </font>
    <font>
      <b val="true"/>
      <sz val="10"/>
      <color rgb="FFFFFFFF"/>
      <name val="Arial"/>
      <family val="0"/>
      <charset val="1"/>
    </font>
    <font>
      <b val="true"/>
      <sz val="10"/>
      <color rgb="FF09182E"/>
      <name val="Arial"/>
      <family val="0"/>
      <charset val="1"/>
    </font>
    <font>
      <sz val="10"/>
      <name val="Arial"/>
      <family val="0"/>
      <charset val="1"/>
    </font>
    <font>
      <b val="true"/>
      <sz val="16"/>
      <color rgb="FF09182E"/>
      <name val="Arial"/>
      <family val="0"/>
      <charset val="1"/>
    </font>
    <font>
      <sz val="10"/>
      <color rgb="FF4F5D70"/>
      <name val="Arial"/>
      <family val="0"/>
      <charset val="1"/>
    </font>
    <font>
      <i val="true"/>
      <sz val="9"/>
      <color rgb="FF8A6A2F"/>
      <name val="Arial"/>
      <family val="0"/>
      <charset val="1"/>
    </font>
    <font>
      <sz val="10"/>
      <color rgb="FF0000FF"/>
      <name val="Arial"/>
      <family val="0"/>
      <charset val="1"/>
    </font>
    <font>
      <sz val="9"/>
      <color rgb="FF4F5D70"/>
      <name val="Arial"/>
      <family val="0"/>
      <charset val="1"/>
    </font>
    <font>
      <b val="true"/>
      <sz val="11"/>
      <color rgb="FF8A6A2F"/>
      <name val="Arial"/>
      <family val="0"/>
      <charset val="1"/>
    </font>
    <font>
      <b val="true"/>
      <sz val="9"/>
      <color rgb="FFFFFFFF"/>
      <name val="Arial"/>
      <family val="0"/>
      <charset val="1"/>
    </font>
    <font>
      <b val="true"/>
      <sz val="9"/>
      <color rgb="FF8A6A2F"/>
      <name val="Arial"/>
      <family val="0"/>
      <charset val="1"/>
    </font>
    <font>
      <b val="true"/>
      <sz val="9"/>
      <color rgb="FF2F7A55"/>
      <name val="Arial"/>
      <family val="0"/>
      <charset val="1"/>
    </font>
    <font>
      <b val="true"/>
      <sz val="9"/>
      <color rgb="FF09182E"/>
      <name val="Arial"/>
      <family val="0"/>
      <charset val="1"/>
    </font>
    <font>
      <i val="true"/>
      <sz val="9"/>
      <color rgb="FF4F5D70"/>
      <name val="Arial"/>
      <family val="0"/>
      <charset val="1"/>
    </font>
    <font>
      <sz val="10"/>
      <color rgb="FF000000"/>
      <name val="Arial"/>
      <family val="0"/>
      <charset val="1"/>
    </font>
    <font>
      <b val="true"/>
      <sz val="10"/>
      <name val="Arial"/>
      <family val="0"/>
      <charset val="1"/>
    </font>
    <font>
      <i val="true"/>
      <sz val="10"/>
      <color rgb="FF4F5D70"/>
      <name val="Arial"/>
      <family val="0"/>
      <charset val="1"/>
    </font>
    <font>
      <sz val="8"/>
      <color rgb="FF4F5D70"/>
      <name val="Arial"/>
      <family val="0"/>
      <charset val="1"/>
    </font>
    <font>
      <i val="true"/>
      <sz val="10"/>
      <name val="Arial"/>
      <family val="0"/>
      <charset val="1"/>
    </font>
    <font>
      <sz val="10"/>
      <color rgb="FF008000"/>
      <name val="Arial"/>
      <family val="0"/>
      <charset val="1"/>
    </font>
    <font>
      <b val="true"/>
      <sz val="10"/>
      <color rgb="FF000000"/>
      <name val="Arial"/>
      <family val="0"/>
      <charset val="1"/>
    </font>
    <font>
      <b val="true"/>
      <sz val="10"/>
      <color rgb="FF008000"/>
      <name val="Arial"/>
      <family val="0"/>
      <charset val="1"/>
    </font>
    <font>
      <b val="true"/>
      <sz val="9.5"/>
      <color rgb="FF09182E"/>
      <name val="Arial"/>
      <family val="0"/>
      <charset val="1"/>
    </font>
    <font>
      <sz val="9.5"/>
      <name val="Arial"/>
      <family val="0"/>
      <charset val="1"/>
    </font>
    <font>
      <sz val="9"/>
      <color rgb="FF8A6A2F"/>
      <name val="Arial"/>
      <family val="0"/>
      <charset val="1"/>
    </font>
    <font>
      <sz val="9"/>
      <color rgb="FF000000"/>
      <name val="Arial"/>
      <family val="0"/>
      <charset val="1"/>
    </font>
    <font>
      <u val="single"/>
      <sz val="9"/>
      <color rgb="FF0563C1"/>
      <name val="Arial"/>
      <family val="0"/>
      <charset val="1"/>
    </font>
  </fonts>
  <fills count="4">
    <fill>
      <patternFill patternType="none"/>
    </fill>
    <fill>
      <patternFill patternType="gray125"/>
    </fill>
    <fill>
      <patternFill patternType="solid">
        <fgColor rgb="FF09182E"/>
        <bgColor rgb="FF000000"/>
      </patternFill>
    </fill>
    <fill>
      <patternFill patternType="solid">
        <fgColor rgb="FFFFF3D6"/>
        <bgColor rgb="FFFFFFFF"/>
      </patternFill>
    </fill>
  </fills>
  <borders count="8">
    <border diagonalUp="false" diagonalDown="false">
      <left/>
      <right/>
      <top/>
      <bottom/>
      <diagonal/>
    </border>
    <border diagonalUp="false" diagonalDown="false">
      <left/>
      <right/>
      <top style="thin">
        <color rgb="FFC9A96A"/>
      </top>
      <bottom/>
      <diagonal/>
    </border>
    <border diagonalUp="false" diagonalDown="false">
      <left style="thin">
        <color rgb="FFC9A96A"/>
      </left>
      <right style="thin">
        <color rgb="FFC9A96A"/>
      </right>
      <top style="thin">
        <color rgb="FFC9A96A"/>
      </top>
      <bottom style="thin">
        <color rgb="FFC9A96A"/>
      </bottom>
      <diagonal/>
    </border>
    <border diagonalUp="false" diagonalDown="false">
      <left/>
      <right/>
      <top/>
      <bottom style="thin">
        <color rgb="FFC9A96A"/>
      </bottom>
      <diagonal/>
    </border>
    <border diagonalUp="false" diagonalDown="false">
      <left/>
      <right/>
      <top/>
      <bottom style="thin">
        <color rgb="FFD9D2C2"/>
      </bottom>
      <diagonal/>
    </border>
    <border diagonalUp="false" diagonalDown="false">
      <left style="thin">
        <color rgb="FFC9A96A"/>
      </left>
      <right style="thin">
        <color rgb="FFC9A96A"/>
      </right>
      <top style="thin">
        <color rgb="FFC9A96A"/>
      </top>
      <bottom style="thin">
        <color rgb="FFD9D2C2"/>
      </bottom>
      <diagonal/>
    </border>
    <border diagonalUp="false" diagonalDown="false">
      <left/>
      <right/>
      <top style="medium">
        <color rgb="FF09182E"/>
      </top>
      <bottom/>
      <diagonal/>
    </border>
    <border diagonalUp="false" diagonalDown="false">
      <left/>
      <right/>
      <top style="medium">
        <color rgb="FF09182E"/>
      </top>
      <bottom style="thin">
        <color rgb="FFD9D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true" applyAlignment="true" applyProtection="false">
      <alignment horizontal="general" vertical="center" textRotation="0" wrapText="true" indent="1" shrinkToFit="false"/>
      <protection locked="true" hidden="false"/>
    </xf>
    <xf numFmtId="164" fontId="9"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4" fillId="3" borderId="2"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16" fillId="0" borderId="3" xfId="0" applyFont="true" applyBorder="true" applyAlignment="false" applyProtection="false">
      <alignment horizontal="general" vertical="bottom" textRotation="0" wrapText="false" indent="0" shrinkToFit="false"/>
      <protection locked="true" hidden="false"/>
    </xf>
    <xf numFmtId="164" fontId="4" fillId="0" borderId="3" xfId="0" applyFont="true" applyBorder="true" applyAlignment="false" applyProtection="false">
      <alignment horizontal="general" vertical="bottom" textRotation="0" wrapText="false" indent="0" shrinkToFit="false"/>
      <protection locked="true" hidden="false"/>
    </xf>
    <xf numFmtId="164" fontId="17" fillId="2" borderId="0" xfId="0" applyFont="true" applyBorder="false" applyAlignment="true" applyProtection="false">
      <alignment horizontal="left" vertical="center" textRotation="0" wrapText="true" indent="0" shrinkToFit="false"/>
      <protection locked="true" hidden="false"/>
    </xf>
    <xf numFmtId="164" fontId="17" fillId="2" borderId="0" xfId="0" applyFont="true" applyBorder="false" applyAlignment="true" applyProtection="false">
      <alignment horizontal="center" vertical="center" textRotation="0" wrapText="true" indent="0" shrinkToFit="false"/>
      <protection locked="true" hidden="false"/>
    </xf>
    <xf numFmtId="164" fontId="17" fillId="2" borderId="0"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general" vertical="center" textRotation="0" wrapText="true" indent="0" shrinkToFit="false"/>
      <protection locked="true" hidden="false"/>
    </xf>
    <xf numFmtId="165" fontId="14" fillId="3" borderId="5" xfId="0" applyFont="true" applyBorder="true" applyAlignment="true" applyProtection="false">
      <alignment horizontal="right" vertical="center" textRotation="0" wrapText="false" indent="0" shrinkToFit="false"/>
      <protection locked="true" hidden="false"/>
    </xf>
    <xf numFmtId="164" fontId="15" fillId="0" borderId="4" xfId="0" applyFont="true" applyBorder="true" applyAlignment="true" applyProtection="false">
      <alignment horizontal="general" vertical="center" textRotation="0" wrapText="true" indent="0" shrinkToFit="false"/>
      <protection locked="true" hidden="false"/>
    </xf>
    <xf numFmtId="164" fontId="18" fillId="0" borderId="4" xfId="0" applyFont="true" applyBorder="true" applyAlignment="true" applyProtection="false">
      <alignment horizontal="general" vertical="center" textRotation="0" wrapText="true" indent="0" shrinkToFit="false"/>
      <protection locked="true" hidden="false"/>
    </xf>
    <xf numFmtId="166" fontId="14" fillId="3" borderId="5" xfId="0" applyFont="true" applyBorder="true" applyAlignment="true" applyProtection="false">
      <alignment horizontal="right" vertical="center" textRotation="0" wrapText="false" indent="0" shrinkToFit="false"/>
      <protection locked="true" hidden="false"/>
    </xf>
    <xf numFmtId="167" fontId="14" fillId="3" borderId="5" xfId="0" applyFont="true" applyBorder="true" applyAlignment="true" applyProtection="false">
      <alignment horizontal="right" vertical="center" textRotation="0" wrapText="false" indent="0" shrinkToFit="false"/>
      <protection locked="true" hidden="false"/>
    </xf>
    <xf numFmtId="164" fontId="19" fillId="0" borderId="4" xfId="0" applyFont="true" applyBorder="true" applyAlignment="true" applyProtection="false">
      <alignment horizontal="general" vertical="center" textRotation="0" wrapText="true" indent="0" shrinkToFit="false"/>
      <protection locked="true" hidden="false"/>
    </xf>
    <xf numFmtId="168" fontId="14" fillId="3" borderId="5" xfId="0" applyFont="true" applyBorder="true" applyAlignment="true" applyProtection="false">
      <alignment horizontal="right" vertical="center" textRotation="0" wrapText="false" indent="0" shrinkToFit="false"/>
      <protection locked="true" hidden="false"/>
    </xf>
    <xf numFmtId="169" fontId="14" fillId="3" borderId="5" xfId="0" applyFont="true" applyBorder="true" applyAlignment="true" applyProtection="false">
      <alignment horizontal="right" vertical="center" textRotation="0" wrapText="false" indent="0" shrinkToFit="false"/>
      <protection locked="true" hidden="false"/>
    </xf>
    <xf numFmtId="164" fontId="20" fillId="0" borderId="4" xfId="0" applyFont="true" applyBorder="true" applyAlignment="true" applyProtection="false">
      <alignment horizontal="general" vertical="center"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5" fontId="14" fillId="3" borderId="4" xfId="0" applyFont="true" applyBorder="true" applyAlignment="true" applyProtection="false">
      <alignment horizontal="right" vertical="bottom" textRotation="0" wrapText="false" indent="0" shrinkToFit="false"/>
      <protection locked="true" hidden="false"/>
    </xf>
    <xf numFmtId="164" fontId="14" fillId="3" borderId="4" xfId="0" applyFont="true" applyBorder="true" applyAlignment="true" applyProtection="false">
      <alignment horizontal="right" vertical="bottom" textRotation="0" wrapText="false" indent="0" shrinkToFit="false"/>
      <protection locked="true" hidden="false"/>
    </xf>
    <xf numFmtId="167" fontId="14" fillId="3" borderId="4" xfId="0" applyFont="true" applyBorder="true" applyAlignment="true" applyProtection="false">
      <alignment horizontal="right" vertical="bottom" textRotation="0" wrapText="false" indent="0" shrinkToFit="false"/>
      <protection locked="true" hidden="false"/>
    </xf>
    <xf numFmtId="169" fontId="4" fillId="0" borderId="4" xfId="0" applyFont="true" applyBorder="true" applyAlignment="true" applyProtection="false">
      <alignment horizontal="right" vertical="bottom" textRotation="0" wrapText="false" indent="0" shrinkToFit="false"/>
      <protection locked="true" hidden="false"/>
    </xf>
    <xf numFmtId="169" fontId="14" fillId="3" borderId="4" xfId="0" applyFont="true" applyBorder="true" applyAlignment="true" applyProtection="false">
      <alignment horizontal="right" vertical="bottom" textRotation="0" wrapText="false" indent="0" shrinkToFit="false"/>
      <protection locked="true" hidden="false"/>
    </xf>
    <xf numFmtId="167" fontId="4" fillId="0" borderId="4" xfId="0" applyFont="true" applyBorder="true" applyAlignment="true" applyProtection="false">
      <alignment horizontal="right" vertical="bottom" textRotation="0" wrapText="false" indent="0" shrinkToFit="false"/>
      <protection locked="true" hidden="false"/>
    </xf>
    <xf numFmtId="165" fontId="4" fillId="0" borderId="4" xfId="0" applyFont="true" applyBorder="true" applyAlignment="true" applyProtection="false">
      <alignment horizontal="right" vertical="bottom" textRotation="0" wrapText="false" indent="0" shrinkToFit="false"/>
      <protection locked="true" hidden="false"/>
    </xf>
    <xf numFmtId="168" fontId="4" fillId="0" borderId="4" xfId="0" applyFont="true" applyBorder="true" applyAlignment="true" applyProtection="false">
      <alignment horizontal="right" vertical="bottom" textRotation="0" wrapText="false" indent="0" shrinkToFit="false"/>
      <protection locked="true" hidden="false"/>
    </xf>
    <xf numFmtId="170" fontId="4" fillId="0" borderId="4" xfId="0" applyFont="true" applyBorder="true" applyAlignment="true" applyProtection="false">
      <alignment horizontal="right" vertical="bottom" textRotation="0" wrapText="false" indent="0" shrinkToFit="false"/>
      <protection locked="true" hidden="false"/>
    </xf>
    <xf numFmtId="164" fontId="9" fillId="0" borderId="6" xfId="0" applyFont="true" applyBorder="true" applyAlignment="false" applyProtection="false">
      <alignment horizontal="general" vertical="bottom" textRotation="0" wrapText="false" indent="0" shrinkToFit="false"/>
      <protection locked="true" hidden="false"/>
    </xf>
    <xf numFmtId="165" fontId="9" fillId="0" borderId="6" xfId="0" applyFont="true" applyBorder="true" applyAlignment="false" applyProtection="false">
      <alignment horizontal="general" vertical="bottom" textRotation="0" wrapText="false" indent="0" shrinkToFit="false"/>
      <protection locked="true" hidden="false"/>
    </xf>
    <xf numFmtId="171" fontId="9" fillId="0" borderId="6" xfId="0" applyFont="true" applyBorder="true" applyAlignment="false" applyProtection="false">
      <alignment horizontal="general" vertical="bottom" textRotation="0" wrapText="false" indent="0" shrinkToFit="false"/>
      <protection locked="true" hidden="false"/>
    </xf>
    <xf numFmtId="167" fontId="9" fillId="0" borderId="6" xfId="0" applyFont="true" applyBorder="true" applyAlignment="false" applyProtection="false">
      <alignment horizontal="general" vertical="bottom" textRotation="0" wrapText="false" indent="0" shrinkToFit="false"/>
      <protection locked="true" hidden="false"/>
    </xf>
    <xf numFmtId="168" fontId="9" fillId="0" borderId="6" xfId="0" applyFont="true" applyBorder="true" applyAlignment="false" applyProtection="false">
      <alignment horizontal="general" vertical="bottom" textRotation="0" wrapText="false" indent="0" shrinkToFit="false"/>
      <protection locked="true" hidden="false"/>
    </xf>
    <xf numFmtId="170" fontId="9" fillId="0" borderId="6"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72" fontId="4" fillId="0" borderId="0" xfId="0" applyFont="true" applyBorder="false" applyAlignment="false" applyProtection="false">
      <alignment horizontal="general" vertical="bottom" textRotation="0" wrapText="false" indent="0" shrinkToFit="false"/>
      <protection locked="true" hidden="false"/>
    </xf>
    <xf numFmtId="165" fontId="22" fillId="0" borderId="4" xfId="0" applyFont="true" applyBorder="true" applyAlignment="true" applyProtection="false">
      <alignment horizontal="right" vertical="center" textRotation="0" wrapText="false" indent="0" shrinkToFit="false"/>
      <protection locked="true" hidden="false"/>
    </xf>
    <xf numFmtId="167" fontId="22" fillId="0" borderId="4" xfId="0" applyFont="true" applyBorder="true" applyAlignment="true" applyProtection="false">
      <alignment horizontal="right" vertical="center" textRotation="0" wrapText="false" indent="0" shrinkToFit="false"/>
      <protection locked="true" hidden="false"/>
    </xf>
    <xf numFmtId="168" fontId="22" fillId="0" borderId="4" xfId="0" applyFont="true" applyBorder="true" applyAlignment="true" applyProtection="false">
      <alignment horizontal="right" vertical="center" textRotation="0" wrapText="false" indent="0" shrinkToFit="false"/>
      <protection locked="true" hidden="false"/>
    </xf>
    <xf numFmtId="170" fontId="22" fillId="0" borderId="4" xfId="0" applyFont="true" applyBorder="true" applyAlignment="true" applyProtection="false">
      <alignment horizontal="right" vertical="center" textRotation="0" wrapText="false" indent="0" shrinkToFit="false"/>
      <protection locked="true" hidden="false"/>
    </xf>
    <xf numFmtId="170" fontId="23" fillId="0" borderId="4" xfId="0" applyFont="true" applyBorder="true" applyAlignment="true" applyProtection="false">
      <alignment horizontal="right" vertical="center" textRotation="0" wrapText="false" indent="0" shrinkToFit="false"/>
      <protection locked="true" hidden="false"/>
    </xf>
    <xf numFmtId="173" fontId="14" fillId="3" borderId="5" xfId="0" applyFont="true" applyBorder="true" applyAlignment="true" applyProtection="false">
      <alignment horizontal="right" vertical="center" textRotation="0" wrapText="false" indent="0" shrinkToFit="false"/>
      <protection locked="true" hidden="false"/>
    </xf>
    <xf numFmtId="170" fontId="14" fillId="3" borderId="5" xfId="0" applyFont="true" applyBorder="true" applyAlignment="true" applyProtection="false">
      <alignment horizontal="right" vertical="center" textRotation="0" wrapText="false" indent="0" shrinkToFit="false"/>
      <protection locked="true" hidden="false"/>
    </xf>
    <xf numFmtId="174" fontId="14" fillId="3" borderId="5" xfId="0" applyFont="true" applyBorder="true" applyAlignment="true" applyProtection="false">
      <alignment horizontal="right" vertical="center" textRotation="0" wrapText="false" indent="0" shrinkToFit="false"/>
      <protection locked="true" hidden="false"/>
    </xf>
    <xf numFmtId="173" fontId="22" fillId="0" borderId="4" xfId="0" applyFont="true" applyBorder="true" applyAlignment="true" applyProtection="false">
      <alignment horizontal="right" vertical="center" textRotation="0" wrapText="false" indent="0" shrinkToFit="false"/>
      <protection locked="true" hidden="false"/>
    </xf>
    <xf numFmtId="164" fontId="24" fillId="0" borderId="4" xfId="0" applyFont="true" applyBorder="true" applyAlignment="false" applyProtection="false">
      <alignment horizontal="general" vertical="bottom" textRotation="0" wrapText="false" indent="0" shrinkToFit="false"/>
      <protection locked="true" hidden="false"/>
    </xf>
    <xf numFmtId="164" fontId="25" fillId="0" borderId="4" xfId="0" applyFont="true" applyBorder="true" applyAlignment="true" applyProtection="false">
      <alignment horizontal="general" vertical="center" textRotation="0" wrapText="true" indent="0" shrinkToFit="false"/>
      <protection locked="true" hidden="false"/>
    </xf>
    <xf numFmtId="165" fontId="26" fillId="0" borderId="4" xfId="0" applyFont="true" applyBorder="true" applyAlignment="false" applyProtection="false">
      <alignment horizontal="general" vertical="bottom" textRotation="0" wrapText="false" indent="0" shrinkToFit="false"/>
      <protection locked="true" hidden="false"/>
    </xf>
    <xf numFmtId="164" fontId="22" fillId="0" borderId="4" xfId="0" applyFont="true" applyBorder="true" applyAlignment="false" applyProtection="false">
      <alignment horizontal="general" vertical="bottom" textRotation="0" wrapText="false" indent="0" shrinkToFit="false"/>
      <protection locked="true" hidden="false"/>
    </xf>
    <xf numFmtId="167" fontId="10" fillId="0" borderId="4" xfId="0" applyFont="true" applyBorder="true" applyAlignment="false" applyProtection="false">
      <alignment horizontal="general" vertical="bottom" textRotation="0" wrapText="false" indent="0" shrinkToFit="false"/>
      <protection locked="true" hidden="false"/>
    </xf>
    <xf numFmtId="169" fontId="10"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false" applyProtection="false">
      <alignment horizontal="general" vertical="bottom" textRotation="0" wrapText="false" indent="0" shrinkToFit="false"/>
      <protection locked="true" hidden="false"/>
    </xf>
    <xf numFmtId="168" fontId="10" fillId="0" borderId="4" xfId="0" applyFont="true" applyBorder="true" applyAlignment="false" applyProtection="false">
      <alignment horizontal="general" vertical="bottom" textRotation="0" wrapText="false" indent="0" shrinkToFit="false"/>
      <protection locked="true" hidden="false"/>
    </xf>
    <xf numFmtId="170" fontId="10" fillId="0" borderId="4" xfId="0" applyFont="true" applyBorder="true" applyAlignment="false" applyProtection="false">
      <alignment horizontal="general" vertical="bottom" textRotation="0" wrapText="false" indent="0" shrinkToFit="false"/>
      <protection locked="true" hidden="false"/>
    </xf>
    <xf numFmtId="164" fontId="9" fillId="0" borderId="7" xfId="0" applyFont="true" applyBorder="true" applyAlignment="false" applyProtection="false">
      <alignment horizontal="general" vertical="bottom" textRotation="0" wrapText="false" indent="0" shrinkToFit="false"/>
      <protection locked="true" hidden="false"/>
    </xf>
    <xf numFmtId="164" fontId="25" fillId="0" borderId="7" xfId="0" applyFont="true" applyBorder="true" applyAlignment="true" applyProtection="false">
      <alignment horizontal="general" vertical="center" textRotation="0" wrapText="true" indent="0" shrinkToFit="false"/>
      <protection locked="true" hidden="false"/>
    </xf>
    <xf numFmtId="170" fontId="23" fillId="0" borderId="7" xfId="0" applyFont="true" applyBorder="true" applyAlignment="false" applyProtection="false">
      <alignment horizontal="general" vertical="bottom" textRotation="0" wrapText="false" indent="0" shrinkToFit="false"/>
      <protection locked="true" hidden="false"/>
    </xf>
    <xf numFmtId="166" fontId="26" fillId="0" borderId="4" xfId="0" applyFont="true" applyBorder="true" applyAlignment="false" applyProtection="false">
      <alignment horizontal="general" vertical="bottom" textRotation="0" wrapText="false" indent="0" shrinkToFit="false"/>
      <protection locked="true" hidden="false"/>
    </xf>
    <xf numFmtId="167" fontId="26" fillId="0" borderId="4" xfId="0" applyFont="true" applyBorder="true" applyAlignment="false" applyProtection="false">
      <alignment horizontal="general" vertical="bottom" textRotation="0" wrapText="false" indent="0" shrinkToFit="false"/>
      <protection locked="true" hidden="false"/>
    </xf>
    <xf numFmtId="170" fontId="26" fillId="0" borderId="4"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bottom" textRotation="0" wrapText="true" indent="0" shrinkToFit="false"/>
      <protection locked="true" hidden="false"/>
    </xf>
    <xf numFmtId="170" fontId="27" fillId="0" borderId="4" xfId="0" applyFont="true" applyBorder="true" applyAlignment="true" applyProtection="false">
      <alignment horizontal="right" vertical="center" textRotation="0" wrapText="false" indent="0" shrinkToFit="false"/>
      <protection locked="true" hidden="false"/>
    </xf>
    <xf numFmtId="164" fontId="9" fillId="0" borderId="7" xfId="0" applyFont="true" applyBorder="true" applyAlignment="true" applyProtection="false">
      <alignment horizontal="general" vertical="center" textRotation="0" wrapText="true" indent="0" shrinkToFit="false"/>
      <protection locked="true" hidden="false"/>
    </xf>
    <xf numFmtId="170" fontId="28" fillId="0" borderId="7" xfId="0" applyFont="true" applyBorder="true" applyAlignment="true" applyProtection="false">
      <alignment horizontal="right" vertical="center" textRotation="0" wrapText="false" indent="0" shrinkToFit="false"/>
      <protection locked="true" hidden="false"/>
    </xf>
    <xf numFmtId="164" fontId="15" fillId="0" borderId="7" xfId="0" applyFont="true" applyBorder="true" applyAlignment="true" applyProtection="false">
      <alignment horizontal="general" vertical="center" textRotation="0" wrapText="true" indent="0" shrinkToFit="false"/>
      <protection locked="true" hidden="false"/>
    </xf>
    <xf numFmtId="175" fontId="22" fillId="0" borderId="4" xfId="0" applyFont="true" applyBorder="true" applyAlignment="true" applyProtection="false">
      <alignment horizontal="right" vertical="center" textRotation="0" wrapText="false" indent="0" shrinkToFit="false"/>
      <protection locked="true" hidden="false"/>
    </xf>
    <xf numFmtId="176" fontId="27" fillId="0" borderId="4" xfId="0" applyFont="true" applyBorder="true" applyAlignment="true" applyProtection="false">
      <alignment horizontal="right" vertical="center" textRotation="0" wrapText="false" indent="0" shrinkToFit="false"/>
      <protection locked="true" hidden="false"/>
    </xf>
    <xf numFmtId="164" fontId="15" fillId="0" borderId="0" xfId="0" applyFont="true" applyBorder="false" applyAlignment="true" applyProtection="false">
      <alignment horizontal="right" vertical="bottom" textRotation="0" wrapText="false" indent="0" shrinkToFit="false"/>
      <protection locked="true" hidden="false"/>
    </xf>
    <xf numFmtId="164" fontId="9" fillId="0" borderId="4" xfId="0" applyFont="true" applyBorder="true" applyAlignment="false" applyProtection="false">
      <alignment horizontal="general" vertical="bottom" textRotation="0" wrapText="false" indent="0" shrinkToFit="false"/>
      <protection locked="true" hidden="false"/>
    </xf>
    <xf numFmtId="170" fontId="4" fillId="0" borderId="4" xfId="0" applyFont="true" applyBorder="true" applyAlignment="false" applyProtection="false">
      <alignment horizontal="general" vertical="bottom" textRotation="0" wrapText="false" indent="0" shrinkToFit="false"/>
      <protection locked="true" hidden="false"/>
    </xf>
    <xf numFmtId="164" fontId="4" fillId="0" borderId="6" xfId="0" applyFont="true" applyBorder="true" applyAlignment="false" applyProtection="false">
      <alignment horizontal="general" vertical="bottom" textRotation="0" wrapText="false" indent="0" shrinkToFit="false"/>
      <protection locked="true" hidden="false"/>
    </xf>
    <xf numFmtId="170" fontId="23" fillId="0" borderId="6" xfId="0" applyFont="true" applyBorder="true" applyAlignment="false" applyProtection="false">
      <alignment horizontal="general" vertical="bottom" textRotation="0" wrapText="false" indent="0" shrinkToFit="false"/>
      <protection locked="true" hidden="false"/>
    </xf>
    <xf numFmtId="164" fontId="9" fillId="0" borderId="4" xfId="0" applyFont="true" applyBorder="true" applyAlignment="true" applyProtection="false">
      <alignment horizontal="general" vertical="center" textRotation="0" wrapText="true" indent="0" shrinkToFit="false"/>
      <protection locked="true" hidden="false"/>
    </xf>
    <xf numFmtId="170" fontId="29" fillId="0" borderId="4" xfId="0" applyFont="true" applyBorder="true" applyAlignment="true" applyProtection="false">
      <alignment horizontal="right" vertical="center" textRotation="0" wrapText="false" indent="0" shrinkToFit="false"/>
      <protection locked="true" hidden="false"/>
    </xf>
    <xf numFmtId="167" fontId="27" fillId="0" borderId="4" xfId="0" applyFont="true" applyBorder="true" applyAlignment="true" applyProtection="false">
      <alignment horizontal="right" vertical="center" textRotation="0" wrapText="false" indent="0" shrinkToFit="false"/>
      <protection locked="true" hidden="false"/>
    </xf>
    <xf numFmtId="175" fontId="28" fillId="0" borderId="4" xfId="0" applyFont="true" applyBorder="true" applyAlignment="true" applyProtection="false">
      <alignment horizontal="right" vertical="center" textRotation="0" wrapText="false" indent="0" shrinkToFit="false"/>
      <protection locked="true" hidden="false"/>
    </xf>
    <xf numFmtId="167" fontId="28" fillId="0" borderId="4" xfId="0" applyFont="true" applyBorder="true" applyAlignment="true" applyProtection="false">
      <alignment horizontal="right" vertical="center" textRotation="0" wrapText="false" indent="0" shrinkToFit="false"/>
      <protection locked="true" hidden="false"/>
    </xf>
    <xf numFmtId="175" fontId="23" fillId="0" borderId="4" xfId="0" applyFont="true" applyBorder="true" applyAlignment="false" applyProtection="false">
      <alignment horizontal="general" vertical="bottom" textRotation="0" wrapText="false" indent="0" shrinkToFit="false"/>
      <protection locked="true" hidden="false"/>
    </xf>
    <xf numFmtId="175" fontId="10" fillId="0" borderId="4" xfId="0" applyFont="true" applyBorder="true" applyAlignment="false" applyProtection="false">
      <alignment horizontal="general" vertical="bottom" textRotation="0" wrapText="false" indent="0" shrinkToFit="false"/>
      <protection locked="true" hidden="false"/>
    </xf>
    <xf numFmtId="177" fontId="10" fillId="0" borderId="4" xfId="0" applyFont="true" applyBorder="true" applyAlignment="true" applyProtection="false">
      <alignment horizontal="right" vertical="bottom" textRotation="0" wrapText="false" indent="0" shrinkToFit="false"/>
      <protection locked="true" hidden="false"/>
    </xf>
    <xf numFmtId="170" fontId="23" fillId="0" borderId="4" xfId="0" applyFont="true" applyBorder="true" applyAlignment="false" applyProtection="false">
      <alignment horizontal="general" vertical="bottom" textRotation="0" wrapText="false" indent="0" shrinkToFit="false"/>
      <protection locked="true" hidden="false"/>
    </xf>
    <xf numFmtId="178" fontId="28" fillId="0" borderId="4" xfId="0" applyFont="true" applyBorder="true" applyAlignment="true" applyProtection="false">
      <alignment horizontal="right" vertical="center" textRotation="0" wrapText="false" indent="0" shrinkToFit="false"/>
      <protection locked="true" hidden="false"/>
    </xf>
    <xf numFmtId="176" fontId="28" fillId="0" borderId="4" xfId="0" applyFont="true" applyBorder="true" applyAlignment="true" applyProtection="false">
      <alignment horizontal="right"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true" applyAlignment="false" applyProtection="false">
      <alignment horizontal="general" vertical="bottom" textRotation="0" wrapText="false" indent="0" shrinkToFit="false"/>
      <protection locked="true" hidden="false"/>
    </xf>
    <xf numFmtId="164" fontId="30" fillId="0" borderId="4" xfId="0" applyFont="true" applyBorder="true" applyAlignment="true" applyProtection="false">
      <alignment horizontal="general" vertical="top" textRotation="0" wrapText="true" indent="0" shrinkToFit="false"/>
      <protection locked="true" hidden="false"/>
    </xf>
    <xf numFmtId="164" fontId="31" fillId="0" borderId="4" xfId="0" applyFont="true" applyBorder="true" applyAlignment="true" applyProtection="false">
      <alignment horizontal="general" vertical="top" textRotation="0" wrapText="true" indent="0" shrinkToFit="false"/>
      <protection locked="true" hidden="false"/>
    </xf>
    <xf numFmtId="164" fontId="32" fillId="0" borderId="4" xfId="0" applyFont="true" applyBorder="true" applyAlignment="true" applyProtection="false">
      <alignment horizontal="general" vertical="top" textRotation="0" wrapText="true" indent="0" shrinkToFit="false"/>
      <protection locked="true" hidden="false"/>
    </xf>
    <xf numFmtId="164" fontId="18" fillId="0" borderId="4" xfId="0" applyFont="true" applyBorder="true" applyAlignment="true" applyProtection="false">
      <alignment horizontal="general" vertical="top" textRotation="0" wrapText="true" indent="0" shrinkToFit="false"/>
      <protection locked="true" hidden="false"/>
    </xf>
    <xf numFmtId="164" fontId="33" fillId="0" borderId="4" xfId="0" applyFont="true" applyBorder="true" applyAlignment="true" applyProtection="false">
      <alignment horizontal="general" vertical="top" textRotation="0" wrapText="true" indent="0" shrinkToFit="false"/>
      <protection locked="true" hidden="false"/>
    </xf>
    <xf numFmtId="164" fontId="34" fillId="0" borderId="4"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A6A2F"/>
      <rgbColor rgb="FF800080"/>
      <rgbColor rgb="FF008080"/>
      <rgbColor rgb="FFD9D2C2"/>
      <rgbColor rgb="FF808080"/>
      <rgbColor rgb="FF9999FF"/>
      <rgbColor rgb="FF993366"/>
      <rgbColor rgb="FFFFF3D6"/>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5D70"/>
      <rgbColor rgb="FFC9A96A"/>
      <rgbColor rgb="FF003366"/>
      <rgbColor rgb="FF2F7A55"/>
      <rgbColor rgb="FF09182E"/>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hyperlink" Target="https://www.umih.fr/assets/files/site/ressources/observatoires-et-etudes/Observatoire_mensuel_des_performances_hotelieres_UMIH___GNC_Decembre_2025.pdf" TargetMode="External"/><Relationship Id="rId2" Type="http://schemas.openxmlformats.org/officeDocument/2006/relationships/hyperlink" Target="https://www.umih.fr/assets/files/site/ressources/observatoires-et-etudes/Observatoire_mensuel_des_performances_hotelieres_UMIH___GNC___Aout_2025.pdf" TargetMode="External"/><Relationship Id="rId3" Type="http://schemas.openxmlformats.org/officeDocument/2006/relationships/hyperlink" Target="https://www.umih.fr/assets/files/site/ressources/observatoires-et-etudes/Observatoire_mensuel_des_performances_hotelieres_UMIH___GNC_Janvier2025.pdf" TargetMode="External"/><Relationship Id="rId4" Type="http://schemas.openxmlformats.org/officeDocument/2006/relationships/hyperlink" Target="https://pro.normandie-tourisme.fr/app/uploads/sites/2/2026/04/la-frequentation-dans-lhotellerie-en-2025.pdf" TargetMode="External"/><Relationship Id="rId5" Type="http://schemas.openxmlformats.org/officeDocument/2006/relationships/hyperlink" Target="https://www.gironde-tourisme.com/espace-pro/wp-content/uploads/sites/2/2026/03/Gironde-Bilan-touristique-2025.pdf" TargetMode="External"/><Relationship Id="rId6" Type="http://schemas.openxmlformats.org/officeDocument/2006/relationships/hyperlink" Target="https://www.banque-france.fr/system/files/2024-12/fascicule-sectoriel-hebergement-55-2023.pdf" TargetMode="External"/><Relationship Id="rId7" Type="http://schemas.openxmlformats.org/officeDocument/2006/relationships/hyperlink" Target="https://www.banque-france.fr/system/files/2024-12/fascicule-sectoriel-restauration-56-2023.pdf" TargetMode="External"/><Relationship Id="rId8" Type="http://schemas.openxmlformats.org/officeDocument/2006/relationships/hyperlink" Target="https://www.keobiz.fr/fiches-pratiques/ratio-masse-salariale-chr/" TargetMode="External"/><Relationship Id="rId9" Type="http://schemas.openxmlformats.org/officeDocument/2006/relationships/hyperlink" Target="https://www.umih.fr/assets/files/site/medias/l-essentiel-nous-chrd/2026_juillet_aout_L_Essentiel_40.pdf" TargetMode="External"/><Relationship Id="rId10" Type="http://schemas.openxmlformats.org/officeDocument/2006/relationships/hyperlink" Target="https://www.umih.fr/assets/files/site/medias/communiques-de-presse/2024/240212_CP%20GHR-UMIH%20Energie.pdf" TargetMode="External"/><Relationship Id="rId11" Type="http://schemas.openxmlformats.org/officeDocument/2006/relationships/hyperlink" Target="https://hospitality-on.com/fr/distribution/distribution-hoteliere-europeenne-le-duopole-booking-expedia-se-fige-les-rapports-de" TargetMode="External"/><Relationship Id="rId12" Type="http://schemas.openxmlformats.org/officeDocument/2006/relationships/hyperlink" Target="https://www.journaldeleconomie.fr/?p=25192" TargetMode="External"/><Relationship Id="rId13" Type="http://schemas.openxmlformats.org/officeDocument/2006/relationships/hyperlink" Target="https://www.senat.fr/rap/r17-587/r17-587-syn.pdf" TargetMode="External"/><Relationship Id="rId14" Type="http://schemas.openxmlformats.org/officeDocument/2006/relationships/hyperlink" Target="https://costar.com/article/1366873980/capex-study-authors-4-reserves-not-enough" TargetMode="External"/><Relationship Id="rId15" Type="http://schemas.openxmlformats.org/officeDocument/2006/relationships/hyperlink" Target="https://www.info.gouv.fr/actualite/le-smic-revalorise-au-1er-janvier-2026" TargetMode="External"/><Relationship Id="rId16" Type="http://schemas.openxmlformats.org/officeDocument/2006/relationships/hyperlink" Target="https://www.ffbatiment.fr/actualites-batiment/actualite/augmentation-smic-juin-2026" TargetMode="External"/><Relationship Id="rId17" Type="http://schemas.openxmlformats.org/officeDocument/2006/relationships/hyperlink" Target="https://www.lhotellerie-restauration.fr/sos-experts/comment-evaluer-la-qualite-d-un-bail-dans-le-cadre-d-une-evaluation" TargetMode="External"/><Relationship Id="rId18" Type="http://schemas.openxmlformats.org/officeDocument/2006/relationships/hyperlink" Target="https://hospitality-on.com/fr/investisseurs/bpifrance-et-extendam-reunissent-les-banquiers-pour-parler-investissement-hotelier" TargetMode="External"/><Relationship Id="rId19" Type="http://schemas.openxmlformats.org/officeDocument/2006/relationships/hyperlink" Target="https://www.ifc-expertise.fr/valeurs-de-fonds-de-commerce-dhotellerie-entre-mythes-et-realites/" TargetMode="External"/><Relationship Id="rId20" Type="http://schemas.openxmlformats.org/officeDocument/2006/relationships/hyperlink" Target="https://www.cushmanwakefield.com/fr-fr/france/insights/paris-marketbeat-hospitality" TargetMode="External"/><Relationship Id="rId21" Type="http://schemas.openxmlformats.org/officeDocument/2006/relationships/hyperlink" Target="https://www.entreprises.cci-paris-idf.fr/fiches-pratiques/acquisition-dun-fonds-de-commerce-quelles-consequences-fiscales" TargetMode="External"/><Relationship Id="rId22" Type="http://schemas.openxmlformats.org/officeDocument/2006/relationships/hyperlink" Target="https://www.notaires.fr/fr/immobilier-fiscalite/financement/les-frais-dacquisition" TargetMode="External"/><Relationship Id="rId23" Type="http://schemas.openxmlformats.org/officeDocument/2006/relationships/hyperlink" Target="https://www.weblex.fr/weblex-actualite/vente-d-immeubles-les-taux-et-exonerations-applicables-au-1er-juin-2026-sont-connus" TargetMode="External"/><Relationship Id="rId24" Type="http://schemas.openxmlformats.org/officeDocument/2006/relationships/hyperlink" Target="https://www.keobiz.fr/fiches-pratiques/ouvrir-restaurant-hotel/cout-amenagement-chambre-hotel/" TargetMode="External"/><Relationship Id="rId25" Type="http://schemas.openxmlformats.org/officeDocument/2006/relationships/hyperlink" Target="https://www.banque-france.fr/fr/statistiques/credit/financement-des-entreprises-2026-08" TargetMode="External"/><Relationship Id="rId26" Type="http://schemas.openxmlformats.org/officeDocument/2006/relationships/hyperlink" Target="https://www.banque-france.fr/system/files/2026-10/Stat_info_Credits_aux_particuliers_202608.pdf" TargetMode="External"/><Relationship Id="rId27" Type="http://schemas.openxmlformats.org/officeDocument/2006/relationships/hyperlink" Target="https://www.keobiz.fr/fiches-pratiques/ouvrir-restaurant-hotel/financement-immobilier-credit-bail-hotel/" TargetMode="External"/><Relationship Id="rId28" Type="http://schemas.openxmlformats.org/officeDocument/2006/relationships/hyperlink" Target="https://www.metlife.fr/assurance-emprunteur/pret-professionnel/financement-hotel/" TargetMode="External"/><Relationship Id="rId29" Type="http://schemas.openxmlformats.org/officeDocument/2006/relationships/hyperlink" Target="https://www.cafpi.fr/pret-professionnel/murs-professionnels/financement-fonds-de-commerce-tout-ce-qu-il-faut-savoir" TargetMode="External"/><Relationship Id="rId30" Type="http://schemas.openxmlformats.org/officeDocument/2006/relationships/hyperlink" Target="https://entreprendre.service-public.gouv.fr/vosdroits/F23575" TargetMode="External"/><Relationship Id="rId31" Type="http://schemas.openxmlformats.org/officeDocument/2006/relationships/hyperlink" Target="https://entreprendre.service-public.gouv.fr/vosdroits/F37288" TargetMode="External"/><Relationship Id="rId32" Type="http://schemas.openxmlformats.org/officeDocument/2006/relationships/hyperlink" Target="https://www.justice.fr/fiche/taux-tva-produits-alimentaires-boissons" TargetMode="External"/><Relationship Id="rId33" Type="http://schemas.openxmlformats.org/officeDocument/2006/relationships/hyperlink" Target="https://www.entreprises.gouv.fr/fr/tourisme/conseils-strategie/chambres-d-hotes" TargetMode="External"/><Relationship Id="rId34" Type="http://schemas.openxmlformats.org/officeDocument/2006/relationships/hyperlink" Target="https://www.economie.gouv.fr/dgccrf/les-fiches-pratiques-et-les-faq/chambres-dhotes-quelle-est-la-reglementation-applicable" TargetMode="External"/><Relationship Id="rId35" Type="http://schemas.openxmlformats.org/officeDocument/2006/relationships/hyperlink" Target="https://www.autoentrepreneur.urssaf.fr/portail/accueil/sinformer-sur-le-statut/lessentiel-du-statut.html" TargetMode="External"/><Relationship Id="rId36" Type="http://schemas.openxmlformats.org/officeDocument/2006/relationships/hyperlink" Target="https://entreprendre.service-public.gouv.fr/vosdroits/F22379" TargetMode="External"/><Relationship Id="rId37" Type="http://schemas.openxmlformats.org/officeDocument/2006/relationships/hyperlink" Target="https://www.ghr.fr/reglementation-fiscalite/les-obligations-dans-les-hotels/la-procedure-de-classement-des-hotels-de-tourisme" TargetMode="External"/><Relationship Id="rId38" Type="http://schemas.openxmlformats.org/officeDocument/2006/relationships/hyperlink" Target="https://www.keobiz.fr/fiches-pratiques/ouvrir-restaurant-hotel/normes-erp-incendie-accessibilite/" TargetMode="External"/><Relationship Id="rId39" Type="http://schemas.openxmlformats.org/officeDocument/2006/relationships/hyperlink" Target="https://www.economie.gouv.fr/entreprises/gerer-sa-fiscalite-et-ses-impots/autres-impots-et-taxes/taxe-de-sejour-quelles-sont-les" TargetMode="External"/><Relationship Id="rId40" Type="http://schemas.openxmlformats.org/officeDocument/2006/relationships/hyperlink" Target="https://bpifrance-creation.fr/moment-de-vie/garanties-bancaires-quoi-sagit-il" TargetMode="External"/><Relationship Id="rId41" Type="http://schemas.openxmlformats.org/officeDocument/2006/relationships/hyperlink" Target="https://bpifrance-creation.fr/encyclopedie/financements/dispositifs-garantie/garanties-bancaires-proposees-france-active" TargetMode="External"/><Relationship Id="rId42" Type="http://schemas.openxmlformats.org/officeDocument/2006/relationships/hyperlink" Target="https://les-aides.fr/aide/cGU_3w/siagi/garantie-au-cas-par-cas-etude-personnalisee.html" TargetMode="External"/><Relationship Id="rId43" Type="http://schemas.openxmlformats.org/officeDocument/2006/relationships/hyperlink" Target="https://les-aides.fr/aide/dFVvIEwMDA6P/bpifrance/pret-tourisme-3.html" TargetMode="External"/><Relationship Id="rId44" Type="http://schemas.openxmlformats.org/officeDocument/2006/relationships/hyperlink" Target="https://les-aides.fr/aide/EBN_ICwMDA6P/bpifrance/garantie-transmission.html" TargetMode="External"/><Relationship Id="rId45" Type="http://schemas.openxmlformats.org/officeDocument/2006/relationships/hyperlink" Target="https://les-aides.fr/aide/YXA_3w/region-bretagne/pass-investissement-entreprises-touristiques-volet-travaux.html" TargetMode="External"/><Relationship Id="rId46" Type="http://schemas.openxmlformats.org/officeDocument/2006/relationships/hyperlink" Target="https://adnormandie.fr/wp-content/uploads/2025/11/REGLEMENT-IMP-DEVELOPPEMENT-.pdf" TargetMode="External"/><Relationship Id="rId47" Type="http://schemas.openxmlformats.org/officeDocument/2006/relationships/hyperlink" Target="https://les-aides.fr/aide/cCGP3w/region-des-pays-de-la-loire/agir-tourisme.html" TargetMode="External"/><Relationship Id="rId48" Type="http://schemas.openxmlformats.org/officeDocument/2006/relationships/hyperlink" Target="https://les-aides.fr/aide/RjNf3w/region-nouvelle-aquitaine/aide-a-l-hotellerie-independante.html" TargetMode="External"/><Relationship Id="rId49" Type="http://schemas.openxmlformats.org/officeDocument/2006/relationships/hyperlink" Target="https://www.realestate.bnpparibas.fr/media/france/2026-09/REVIEW%20HOTELLERIE%20-%20T2%202026_FR.pdf" TargetMode="External"/><Relationship Id="rId50" Type="http://schemas.openxmlformats.org/officeDocument/2006/relationships/hyperlink" Target="https://www.ecb.europa.eu/press/pr/date/2026/html/ecb.mp260910~314e508016.en.html" TargetMode="External"/><Relationship Id="rId51" Type="http://schemas.openxmlformats.org/officeDocument/2006/relationships/hyperlink" Target="https://www.banque-france.fr/fr/statistiques/entreprises/defaillances-dentreprises-2026-07" TargetMode="External"/><Relationship Id="rId52" Type="http://schemas.openxmlformats.org/officeDocument/2006/relationships/hyperlink" Target="https://www.metlife.fr/assurance-emprunteur/pret-professionnel/que-regarde-la-banque/" TargetMode="External"/><Relationship Id="rId53" Type="http://schemas.openxmlformats.org/officeDocument/2006/relationships/hyperlink" Target="https://mktgdocs.cbre.com/2299/be26ab5e-2ab1-44ae-95c6-3b706d129436-2109243007/CBRE_Figures_H_tels_France_T1_.pdf" TargetMode="External"/><Relationship Id="rId54" Type="http://schemas.openxmlformats.org/officeDocument/2006/relationships/hyperlink" Target="https://www.poitiers.cci.fr/wp-content/uploads/2026/05/2026-permis-dexploiter.pdf" TargetMode="External"/><Relationship Id="rId55" Type="http://schemas.openxmlformats.org/officeDocument/2006/relationships/hyperlink" Target="https://www.quechoisir.org/actualite-immobilier-les-frais-de-notaire-augmentent-dans-l-ancien-n167712/" TargetMode="External"/><Relationship Id="rId56" Type="http://schemas.openxmlformats.org/officeDocument/2006/relationships/hyperlink" Target="https://www.pointdevente.fr/fr/actualites/les-frais-caches-lors-de-l-achat-d-un-fonds-de-commerce-a658" TargetMode="External"/><Relationship Id="rId57" Type="http://schemas.openxmlformats.org/officeDocument/2006/relationships/hyperlink" Target="https://www.pap.fr/vendeur/vendre-sans-agence/vente-immobiliere-les-frais-d-agence-qui-paie-quand-et-combien/a23282" TargetMode="External"/><Relationship Id="rId58" Type="http://schemas.openxmlformats.org/officeDocument/2006/relationships/hyperlink" Target="https://www.economie.gouv.fr/dgccrf/les-fiches-pratiques/lagent-immobilier-les-regles-qui-encadrent-la-profession" TargetMode="External"/><Relationship Id="rId59" Type="http://schemas.openxmlformats.org/officeDocument/2006/relationships/hyperlink" Target="https://bpifrance-creation.fr/encyclopedie/fiscalite-lentreprise/fiscalite-transmissionreprise/droits-denregistrement-cas-reprise" TargetMode="External"/><Relationship Id="rId60" Type="http://schemas.openxmlformats.org/officeDocument/2006/relationships/hyperlink" Target="https://www.service-public.gouv.fr/particuliers/vosdroits/F17701"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C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100"/>
  </cols>
  <sheetData>
    <row r="1" customFormat="false" ht="15" hidden="false" customHeight="false" outlineLevel="0" collapsed="false">
      <c r="A1" s="1"/>
      <c r="B1" s="2" t="s">
        <v>0</v>
      </c>
      <c r="C1" s="1"/>
    </row>
    <row r="2" customFormat="false" ht="27.75" hidden="false" customHeight="true" outlineLevel="0" collapsed="false">
      <c r="A2" s="1"/>
      <c r="B2" s="3" t="s">
        <v>1</v>
      </c>
      <c r="C2" s="1"/>
    </row>
    <row r="3" customFormat="false" ht="15" hidden="false" customHeight="false" outlineLevel="0" collapsed="false">
      <c r="A3" s="1"/>
      <c r="B3" s="4" t="s">
        <v>2</v>
      </c>
      <c r="C3" s="1"/>
    </row>
    <row r="4" customFormat="false" ht="15" hidden="false" customHeight="false" outlineLevel="0" collapsed="false">
      <c r="A4" s="1"/>
      <c r="B4" s="1"/>
      <c r="C4" s="1"/>
    </row>
    <row r="5" customFormat="false" ht="36" hidden="false" customHeight="true" outlineLevel="0" collapsed="false">
      <c r="A5" s="1"/>
      <c r="B5" s="5" t="s">
        <v>3</v>
      </c>
      <c r="C5" s="5"/>
    </row>
    <row r="6" customFormat="false" ht="15" hidden="false" customHeight="false" outlineLevel="0" collapsed="false">
      <c r="A6" s="1"/>
      <c r="B6" s="1"/>
      <c r="C6" s="1"/>
    </row>
    <row r="7" customFormat="false" ht="33" hidden="false" customHeight="true" outlineLevel="0" collapsed="false">
      <c r="A7" s="1"/>
      <c r="B7" s="6" t="s">
        <v>4</v>
      </c>
      <c r="C7" s="7" t="s">
        <v>5</v>
      </c>
    </row>
    <row r="8" customFormat="false" ht="33" hidden="false" customHeight="true" outlineLevel="0" collapsed="false">
      <c r="A8" s="1"/>
      <c r="B8" s="6" t="s">
        <v>6</v>
      </c>
      <c r="C8" s="7" t="s">
        <v>7</v>
      </c>
    </row>
    <row r="9" customFormat="false" ht="87" hidden="false" customHeight="true" outlineLevel="0" collapsed="false">
      <c r="A9" s="1"/>
      <c r="B9" s="6" t="s">
        <v>8</v>
      </c>
      <c r="C9" s="7" t="s">
        <v>9</v>
      </c>
    </row>
    <row r="10" customFormat="false" ht="46.5" hidden="false" customHeight="true" outlineLevel="0" collapsed="false">
      <c r="A10" s="1"/>
      <c r="B10" s="6" t="s">
        <v>10</v>
      </c>
      <c r="C10" s="7" t="s">
        <v>11</v>
      </c>
    </row>
    <row r="11" customFormat="false" ht="46.5" hidden="false" customHeight="true" outlineLevel="0" collapsed="false">
      <c r="A11" s="1"/>
      <c r="B11" s="6" t="s">
        <v>12</v>
      </c>
      <c r="C11" s="7" t="s">
        <v>13</v>
      </c>
    </row>
    <row r="12" customFormat="false" ht="100.5" hidden="false" customHeight="true" outlineLevel="0" collapsed="false">
      <c r="A12" s="1"/>
      <c r="B12" s="6" t="s">
        <v>14</v>
      </c>
      <c r="C12" s="7" t="s">
        <v>15</v>
      </c>
    </row>
    <row r="13" customFormat="false" ht="46.5" hidden="false" customHeight="true" outlineLevel="0" collapsed="false">
      <c r="A13" s="1"/>
      <c r="B13" s="6" t="s">
        <v>16</v>
      </c>
      <c r="C13" s="7" t="s">
        <v>17</v>
      </c>
    </row>
    <row r="14" customFormat="false" ht="46.5" hidden="false" customHeight="true" outlineLevel="0" collapsed="false">
      <c r="A14" s="1"/>
      <c r="B14" s="6" t="s">
        <v>18</v>
      </c>
      <c r="C14" s="7" t="s">
        <v>19</v>
      </c>
    </row>
    <row r="15" customFormat="false" ht="33" hidden="false" customHeight="true" outlineLevel="0" collapsed="false">
      <c r="A15" s="1"/>
      <c r="B15" s="6" t="s">
        <v>20</v>
      </c>
      <c r="C15" s="7" t="s">
        <v>21</v>
      </c>
    </row>
  </sheetData>
  <mergeCells count="1">
    <mergeCell ref="B5:C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96A"/>
    <pageSetUpPr fitToPage="true"/>
  </sheetPr>
  <dimension ref="A1:L1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3"/>
    <col collapsed="false" customWidth="true" hidden="false" outlineLevel="0" max="4" min="4" style="0" width="11"/>
    <col collapsed="false" customWidth="true" hidden="false" outlineLevel="0" max="5" min="5" style="0" width="13"/>
    <col collapsed="false" customWidth="true" hidden="false" outlineLevel="0" max="11" min="6" style="0" width="12"/>
    <col collapsed="false" customWidth="true" hidden="false" outlineLevel="0" max="12" min="12" style="0" width="13"/>
  </cols>
  <sheetData>
    <row r="1" customFormat="false" ht="24" hidden="false" customHeight="true" outlineLevel="0" collapsed="false">
      <c r="A1" s="1"/>
      <c r="B1" s="8" t="s">
        <v>22</v>
      </c>
      <c r="C1" s="1"/>
      <c r="D1" s="1"/>
      <c r="E1" s="1"/>
      <c r="F1" s="1"/>
      <c r="G1" s="1"/>
      <c r="H1" s="1"/>
      <c r="I1" s="1"/>
      <c r="J1" s="1"/>
      <c r="K1" s="1"/>
      <c r="L1" s="1"/>
    </row>
    <row r="2" customFormat="false" ht="15" hidden="false" customHeight="false" outlineLevel="0" collapsed="false">
      <c r="A2" s="1"/>
      <c r="B2" s="9" t="s">
        <v>2</v>
      </c>
      <c r="C2" s="1"/>
      <c r="D2" s="1"/>
      <c r="E2" s="1"/>
      <c r="F2" s="1"/>
      <c r="G2" s="1"/>
      <c r="H2" s="1"/>
      <c r="I2" s="1"/>
      <c r="J2" s="1"/>
      <c r="K2" s="1"/>
      <c r="L2" s="1"/>
    </row>
    <row r="3" customFormat="false" ht="15" hidden="false" customHeight="false" outlineLevel="0" collapsed="false">
      <c r="A3" s="1"/>
      <c r="B3" s="10" t="s">
        <v>23</v>
      </c>
      <c r="C3" s="1"/>
      <c r="D3" s="1"/>
      <c r="E3" s="1"/>
      <c r="F3" s="1"/>
      <c r="G3" s="1"/>
      <c r="H3" s="1"/>
      <c r="I3" s="1"/>
      <c r="J3" s="1"/>
      <c r="K3" s="1"/>
      <c r="L3" s="1"/>
    </row>
    <row r="4" customFormat="false" ht="15" hidden="false" customHeight="false" outlineLevel="0" collapsed="false">
      <c r="A4" s="1"/>
      <c r="B4" s="1"/>
      <c r="C4" s="1"/>
      <c r="D4" s="1"/>
      <c r="E4" s="1"/>
      <c r="F4" s="1"/>
      <c r="G4" s="1"/>
      <c r="H4" s="1"/>
      <c r="I4" s="1"/>
      <c r="J4" s="1"/>
      <c r="K4" s="1"/>
      <c r="L4" s="1"/>
    </row>
    <row r="5" customFormat="false" ht="54" hidden="false" customHeight="true" outlineLevel="0" collapsed="false">
      <c r="A5" s="1"/>
      <c r="B5" s="11" t="s">
        <v>10</v>
      </c>
      <c r="C5" s="12" t="n">
        <v>1234</v>
      </c>
      <c r="D5" s="13" t="s">
        <v>24</v>
      </c>
      <c r="E5" s="13"/>
      <c r="F5" s="13"/>
      <c r="G5" s="13"/>
      <c r="H5" s="13"/>
      <c r="I5" s="13"/>
      <c r="J5" s="13"/>
      <c r="K5" s="13"/>
      <c r="L5" s="13"/>
    </row>
    <row r="6" customFormat="false" ht="15" hidden="false" customHeight="false" outlineLevel="0" collapsed="false">
      <c r="A6" s="1"/>
      <c r="B6" s="1"/>
      <c r="C6" s="1"/>
      <c r="D6" s="1"/>
      <c r="E6" s="1"/>
      <c r="F6" s="1"/>
      <c r="G6" s="1"/>
      <c r="H6" s="1"/>
      <c r="I6" s="1"/>
      <c r="J6" s="1"/>
      <c r="K6" s="1"/>
      <c r="L6" s="1"/>
    </row>
    <row r="7" customFormat="false" ht="19.5" hidden="false" customHeight="true" outlineLevel="0" collapsed="false">
      <c r="A7" s="1"/>
      <c r="B7" s="14" t="s">
        <v>25</v>
      </c>
      <c r="C7" s="15"/>
      <c r="D7" s="15"/>
      <c r="E7" s="15"/>
      <c r="F7" s="15"/>
      <c r="G7" s="15"/>
      <c r="H7" s="15"/>
      <c r="I7" s="15"/>
      <c r="J7" s="15"/>
      <c r="K7" s="15"/>
      <c r="L7" s="15"/>
    </row>
    <row r="8" customFormat="false" ht="25.5" hidden="false" customHeight="true" outlineLevel="0" collapsed="false">
      <c r="A8" s="1"/>
      <c r="B8" s="16" t="s">
        <v>26</v>
      </c>
      <c r="C8" s="17" t="s">
        <v>27</v>
      </c>
      <c r="D8" s="17" t="s">
        <v>28</v>
      </c>
      <c r="E8" s="17" t="s">
        <v>29</v>
      </c>
      <c r="F8" s="18" t="s">
        <v>30</v>
      </c>
      <c r="G8" s="18"/>
      <c r="H8" s="18"/>
      <c r="I8" s="18"/>
      <c r="J8" s="18"/>
      <c r="K8" s="18"/>
      <c r="L8" s="18"/>
    </row>
    <row r="9" customFormat="false" ht="30" hidden="false" customHeight="true" outlineLevel="0" collapsed="false">
      <c r="A9" s="1"/>
      <c r="B9" s="19" t="s">
        <v>31</v>
      </c>
      <c r="C9" s="20" t="n">
        <v>25</v>
      </c>
      <c r="D9" s="21" t="s">
        <v>32</v>
      </c>
      <c r="E9" s="22" t="s">
        <v>33</v>
      </c>
      <c r="F9" s="21" t="s">
        <v>34</v>
      </c>
      <c r="G9" s="21"/>
      <c r="H9" s="21"/>
      <c r="I9" s="21"/>
      <c r="J9" s="21"/>
      <c r="K9" s="21"/>
      <c r="L9" s="21"/>
    </row>
    <row r="10" customFormat="false" ht="30" hidden="false" customHeight="true" outlineLevel="0" collapsed="false">
      <c r="A10" s="1"/>
      <c r="B10" s="19" t="s">
        <v>35</v>
      </c>
      <c r="C10" s="23" t="n">
        <v>1.6</v>
      </c>
      <c r="D10" s="21" t="s">
        <v>36</v>
      </c>
      <c r="E10" s="22" t="s">
        <v>33</v>
      </c>
      <c r="F10" s="21" t="s">
        <v>37</v>
      </c>
      <c r="G10" s="21"/>
      <c r="H10" s="21"/>
      <c r="I10" s="21"/>
      <c r="J10" s="21"/>
      <c r="K10" s="21"/>
      <c r="L10" s="21"/>
    </row>
    <row r="11" customFormat="false" ht="30" hidden="false" customHeight="true" outlineLevel="0" collapsed="false">
      <c r="A11" s="1"/>
      <c r="B11" s="19" t="s">
        <v>38</v>
      </c>
      <c r="C11" s="24" t="n">
        <v>0.55</v>
      </c>
      <c r="D11" s="21" t="s">
        <v>39</v>
      </c>
      <c r="E11" s="25" t="s">
        <v>40</v>
      </c>
      <c r="F11" s="21" t="s">
        <v>41</v>
      </c>
      <c r="G11" s="21"/>
      <c r="H11" s="21"/>
      <c r="I11" s="21"/>
      <c r="J11" s="21"/>
      <c r="K11" s="21"/>
      <c r="L11" s="21"/>
    </row>
    <row r="12" customFormat="false" ht="30" hidden="false" customHeight="true" outlineLevel="0" collapsed="false">
      <c r="A12" s="1"/>
      <c r="B12" s="19" t="s">
        <v>42</v>
      </c>
      <c r="C12" s="26" t="n">
        <v>85</v>
      </c>
      <c r="D12" s="21" t="s">
        <v>43</v>
      </c>
      <c r="E12" s="25" t="s">
        <v>40</v>
      </c>
      <c r="F12" s="21" t="s">
        <v>44</v>
      </c>
      <c r="G12" s="21"/>
      <c r="H12" s="21"/>
      <c r="I12" s="21"/>
      <c r="J12" s="21"/>
      <c r="K12" s="21"/>
      <c r="L12" s="21"/>
    </row>
    <row r="13" customFormat="false" ht="42" hidden="false" customHeight="true" outlineLevel="0" collapsed="false">
      <c r="A13" s="1"/>
      <c r="B13" s="19" t="s">
        <v>45</v>
      </c>
      <c r="C13" s="27" t="n">
        <v>1.2</v>
      </c>
      <c r="D13" s="21" t="s">
        <v>46</v>
      </c>
      <c r="E13" s="28" t="s">
        <v>47</v>
      </c>
      <c r="F13" s="21" t="s">
        <v>48</v>
      </c>
      <c r="G13" s="21"/>
      <c r="H13" s="21"/>
      <c r="I13" s="21"/>
      <c r="J13" s="21"/>
      <c r="K13" s="21"/>
      <c r="L13" s="21"/>
    </row>
    <row r="14" customFormat="false" ht="30" hidden="false" customHeight="true" outlineLevel="0" collapsed="false">
      <c r="A14" s="1"/>
      <c r="B14" s="19" t="s">
        <v>49</v>
      </c>
      <c r="C14" s="24" t="n">
        <v>0.95</v>
      </c>
      <c r="D14" s="21" t="s">
        <v>39</v>
      </c>
      <c r="E14" s="22" t="s">
        <v>33</v>
      </c>
      <c r="F14" s="21" t="s">
        <v>50</v>
      </c>
      <c r="G14" s="21"/>
      <c r="H14" s="21"/>
      <c r="I14" s="21"/>
      <c r="J14" s="21"/>
      <c r="K14" s="21"/>
      <c r="L14" s="21"/>
    </row>
    <row r="15" customFormat="false" ht="15" hidden="false" customHeight="false" outlineLevel="0" collapsed="false">
      <c r="A15" s="1"/>
      <c r="B15" s="1"/>
      <c r="C15" s="1"/>
      <c r="D15" s="1"/>
      <c r="E15" s="1"/>
      <c r="F15" s="1"/>
      <c r="G15" s="1"/>
      <c r="H15" s="1"/>
      <c r="I15" s="1"/>
      <c r="J15" s="1"/>
      <c r="K15" s="1"/>
      <c r="L15" s="1"/>
    </row>
    <row r="16" customFormat="false" ht="19.5" hidden="false" customHeight="true" outlineLevel="0" collapsed="false">
      <c r="A16" s="1"/>
      <c r="B16" s="14" t="s">
        <v>51</v>
      </c>
      <c r="C16" s="15"/>
      <c r="D16" s="15"/>
      <c r="E16" s="15"/>
      <c r="F16" s="15"/>
      <c r="G16" s="15"/>
      <c r="H16" s="15"/>
      <c r="I16" s="15"/>
      <c r="J16" s="15"/>
      <c r="K16" s="15"/>
      <c r="L16" s="15"/>
    </row>
    <row r="17" customFormat="false" ht="51.75" hidden="false" customHeight="true" outlineLevel="0" collapsed="false">
      <c r="A17" s="1"/>
      <c r="B17" s="29" t="s">
        <v>52</v>
      </c>
      <c r="C17" s="29"/>
      <c r="D17" s="29"/>
      <c r="E17" s="29"/>
      <c r="F17" s="29"/>
      <c r="G17" s="29"/>
      <c r="H17" s="29"/>
      <c r="I17" s="29"/>
      <c r="J17" s="29"/>
      <c r="K17" s="29"/>
      <c r="L17" s="29"/>
    </row>
    <row r="18" customFormat="false" ht="37.5" hidden="false" customHeight="true" outlineLevel="0" collapsed="false">
      <c r="A18" s="1"/>
      <c r="B18" s="16" t="s">
        <v>53</v>
      </c>
      <c r="C18" s="17" t="s">
        <v>54</v>
      </c>
      <c r="D18" s="17" t="s">
        <v>55</v>
      </c>
      <c r="E18" s="17" t="s">
        <v>56</v>
      </c>
      <c r="F18" s="17" t="s">
        <v>57</v>
      </c>
      <c r="G18" s="17" t="s">
        <v>58</v>
      </c>
      <c r="H18" s="17" t="s">
        <v>59</v>
      </c>
      <c r="I18" s="17" t="s">
        <v>60</v>
      </c>
      <c r="J18" s="17" t="s">
        <v>61</v>
      </c>
      <c r="K18" s="17" t="s">
        <v>62</v>
      </c>
      <c r="L18" s="17" t="s">
        <v>63</v>
      </c>
    </row>
    <row r="19" customFormat="false" ht="15" hidden="false" customHeight="false" outlineLevel="0" collapsed="false">
      <c r="A19" s="1"/>
      <c r="B19" s="30" t="s">
        <v>64</v>
      </c>
      <c r="C19" s="31" t="n">
        <v>31</v>
      </c>
      <c r="D19" s="32" t="n">
        <v>1</v>
      </c>
      <c r="E19" s="33" t="n">
        <v>0.365</v>
      </c>
      <c r="F19" s="34" t="n">
        <f aca="false">E19/AVERAGE($E$19:$E$30)</f>
        <v>0.662832929782082</v>
      </c>
      <c r="G19" s="34" t="n">
        <f aca="false">MAX(0,1+$C$13*(F19-1))</f>
        <v>0.595399515738499</v>
      </c>
      <c r="H19" s="35" t="n">
        <v>0.9</v>
      </c>
      <c r="I19" s="36" t="n">
        <f aca="false">IF(D19=1,MIN($C$14,$C$11*G19),0)</f>
        <v>0.327469733656174</v>
      </c>
      <c r="J19" s="37" t="n">
        <f aca="false">$C$9*C19*I19</f>
        <v>253.789043583535</v>
      </c>
      <c r="K19" s="38" t="n">
        <f aca="false">$C$12*H19/$C$33</f>
        <v>74.3741746998777</v>
      </c>
      <c r="L19" s="39" t="n">
        <f aca="false">J19*K19</f>
        <v>18875.3506643967</v>
      </c>
    </row>
    <row r="20" customFormat="false" ht="15" hidden="false" customHeight="false" outlineLevel="0" collapsed="false">
      <c r="A20" s="1"/>
      <c r="B20" s="30" t="s">
        <v>65</v>
      </c>
      <c r="C20" s="31" t="n">
        <v>28</v>
      </c>
      <c r="D20" s="32" t="n">
        <v>1</v>
      </c>
      <c r="E20" s="33" t="n">
        <v>0.421</v>
      </c>
      <c r="F20" s="34" t="n">
        <f aca="false">E20/AVERAGE($E$19:$E$30)</f>
        <v>0.764527845036319</v>
      </c>
      <c r="G20" s="34" t="n">
        <f aca="false">MAX(0,1+$C$13*(F20-1))</f>
        <v>0.717433414043583</v>
      </c>
      <c r="H20" s="35" t="n">
        <v>0.9</v>
      </c>
      <c r="I20" s="36" t="n">
        <f aca="false">IF(D20=1,MIN($C$14,$C$11*G20),0)</f>
        <v>0.394588377723971</v>
      </c>
      <c r="J20" s="37" t="n">
        <f aca="false">$C$9*C20*I20</f>
        <v>276.21186440678</v>
      </c>
      <c r="K20" s="38" t="n">
        <f aca="false">$C$12*H20/$C$33</f>
        <v>74.3741746998777</v>
      </c>
      <c r="L20" s="39" t="n">
        <f aca="false">J20*K20</f>
        <v>20543.0294575688</v>
      </c>
    </row>
    <row r="21" customFormat="false" ht="15" hidden="false" customHeight="false" outlineLevel="0" collapsed="false">
      <c r="A21" s="1"/>
      <c r="B21" s="30" t="s">
        <v>66</v>
      </c>
      <c r="C21" s="31" t="n">
        <v>31</v>
      </c>
      <c r="D21" s="32" t="n">
        <v>1</v>
      </c>
      <c r="E21" s="33" t="n">
        <v>0.454</v>
      </c>
      <c r="F21" s="34" t="n">
        <f aca="false">E21/AVERAGE($E$19:$E$30)</f>
        <v>0.824455205811138</v>
      </c>
      <c r="G21" s="34" t="n">
        <f aca="false">MAX(0,1+$C$13*(F21-1))</f>
        <v>0.789346246973366</v>
      </c>
      <c r="H21" s="35" t="n">
        <v>0.92</v>
      </c>
      <c r="I21" s="36" t="n">
        <f aca="false">IF(D21=1,MIN($C$14,$C$11*G21),0)</f>
        <v>0.434140435835351</v>
      </c>
      <c r="J21" s="37" t="n">
        <f aca="false">$C$9*C21*I21</f>
        <v>336.458837772397</v>
      </c>
      <c r="K21" s="38" t="n">
        <f aca="false">$C$12*H21/$C$33</f>
        <v>76.0269341376528</v>
      </c>
      <c r="L21" s="39" t="n">
        <f aca="false">J21*K21</f>
        <v>25579.9338993532</v>
      </c>
    </row>
    <row r="22" customFormat="false" ht="15" hidden="false" customHeight="false" outlineLevel="0" collapsed="false">
      <c r="A22" s="1"/>
      <c r="B22" s="30" t="s">
        <v>67</v>
      </c>
      <c r="C22" s="31" t="n">
        <v>30</v>
      </c>
      <c r="D22" s="32" t="n">
        <v>1</v>
      </c>
      <c r="E22" s="33" t="n">
        <v>0.557</v>
      </c>
      <c r="F22" s="34" t="n">
        <f aca="false">E22/AVERAGE($E$19:$E$30)</f>
        <v>1.01150121065375</v>
      </c>
      <c r="G22" s="34" t="n">
        <f aca="false">MAX(0,1+$C$13*(F22-1))</f>
        <v>1.0138014527845</v>
      </c>
      <c r="H22" s="35" t="n">
        <v>0.97</v>
      </c>
      <c r="I22" s="36" t="n">
        <f aca="false">IF(D22=1,MIN($C$14,$C$11*G22),0)</f>
        <v>0.557590799031477</v>
      </c>
      <c r="J22" s="37" t="n">
        <f aca="false">$C$9*C22*I22</f>
        <v>418.193099273608</v>
      </c>
      <c r="K22" s="38" t="n">
        <f aca="false">$C$12*H22/$C$33</f>
        <v>80.1588327320904</v>
      </c>
      <c r="L22" s="39" t="n">
        <f aca="false">J22*K22</f>
        <v>33521.8706943876</v>
      </c>
    </row>
    <row r="23" customFormat="false" ht="15" hidden="false" customHeight="false" outlineLevel="0" collapsed="false">
      <c r="A23" s="1"/>
      <c r="B23" s="30" t="s">
        <v>68</v>
      </c>
      <c r="C23" s="31" t="n">
        <v>31</v>
      </c>
      <c r="D23" s="32" t="n">
        <v>1</v>
      </c>
      <c r="E23" s="33" t="n">
        <v>0.63</v>
      </c>
      <c r="F23" s="34" t="n">
        <f aca="false">E23/AVERAGE($E$19:$E$30)</f>
        <v>1.14406779661017</v>
      </c>
      <c r="G23" s="34" t="n">
        <f aca="false">MAX(0,1+$C$13*(F23-1))</f>
        <v>1.1728813559322</v>
      </c>
      <c r="H23" s="35" t="n">
        <v>1</v>
      </c>
      <c r="I23" s="36" t="n">
        <f aca="false">IF(D23=1,MIN($C$14,$C$11*G23),0)</f>
        <v>0.645084745762712</v>
      </c>
      <c r="J23" s="37" t="n">
        <f aca="false">$C$9*C23*I23</f>
        <v>499.940677966102</v>
      </c>
      <c r="K23" s="38" t="n">
        <f aca="false">$C$12*H23/$C$33</f>
        <v>82.637971888753</v>
      </c>
      <c r="L23" s="39" t="n">
        <f aca="false">J23*K23</f>
        <v>41314.0836918068</v>
      </c>
    </row>
    <row r="24" customFormat="false" ht="15" hidden="false" customHeight="false" outlineLevel="0" collapsed="false">
      <c r="A24" s="1"/>
      <c r="B24" s="30" t="s">
        <v>69</v>
      </c>
      <c r="C24" s="31" t="n">
        <v>30</v>
      </c>
      <c r="D24" s="32" t="n">
        <v>1</v>
      </c>
      <c r="E24" s="33" t="n">
        <v>0.693</v>
      </c>
      <c r="F24" s="34" t="n">
        <f aca="false">E24/AVERAGE($E$19:$E$30)</f>
        <v>1.25847457627119</v>
      </c>
      <c r="G24" s="34" t="n">
        <f aca="false">MAX(0,1+$C$13*(F24-1))</f>
        <v>1.31016949152542</v>
      </c>
      <c r="H24" s="35" t="n">
        <v>1.06</v>
      </c>
      <c r="I24" s="36" t="n">
        <f aca="false">IF(D24=1,MIN($C$14,$C$11*G24),0)</f>
        <v>0.720593220338983</v>
      </c>
      <c r="J24" s="37" t="n">
        <f aca="false">$C$9*C24*I24</f>
        <v>540.444915254237</v>
      </c>
      <c r="K24" s="38" t="n">
        <f aca="false">$C$12*H24/$C$33</f>
        <v>87.5962502020782</v>
      </c>
      <c r="L24" s="39" t="n">
        <f aca="false">J24*K24</f>
        <v>47340.9480170511</v>
      </c>
    </row>
    <row r="25" customFormat="false" ht="15" hidden="false" customHeight="false" outlineLevel="0" collapsed="false">
      <c r="A25" s="1"/>
      <c r="B25" s="30" t="s">
        <v>70</v>
      </c>
      <c r="C25" s="31" t="n">
        <v>31</v>
      </c>
      <c r="D25" s="32" t="n">
        <v>1</v>
      </c>
      <c r="E25" s="33" t="n">
        <v>0.681</v>
      </c>
      <c r="F25" s="34" t="n">
        <f aca="false">E25/AVERAGE($E$19:$E$30)</f>
        <v>1.23668280871671</v>
      </c>
      <c r="G25" s="34" t="n">
        <f aca="false">MAX(0,1+$C$13*(F25-1))</f>
        <v>1.28401937046005</v>
      </c>
      <c r="H25" s="35" t="n">
        <v>1.2</v>
      </c>
      <c r="I25" s="36" t="n">
        <f aca="false">IF(D25=1,MIN($C$14,$C$11*G25),0)</f>
        <v>0.706210653753027</v>
      </c>
      <c r="J25" s="37" t="n">
        <f aca="false">$C$9*C25*I25</f>
        <v>547.313256658596</v>
      </c>
      <c r="K25" s="38" t="n">
        <f aca="false">$C$12*H25/$C$33</f>
        <v>99.1655662665036</v>
      </c>
      <c r="L25" s="39" t="n">
        <f aca="false">J25*K25</f>
        <v>54274.6290217139</v>
      </c>
    </row>
    <row r="26" customFormat="false" ht="15" hidden="false" customHeight="false" outlineLevel="0" collapsed="false">
      <c r="A26" s="1"/>
      <c r="B26" s="30" t="s">
        <v>71</v>
      </c>
      <c r="C26" s="31" t="n">
        <v>31</v>
      </c>
      <c r="D26" s="32" t="n">
        <v>1</v>
      </c>
      <c r="E26" s="33" t="n">
        <v>0.734</v>
      </c>
      <c r="F26" s="34" t="n">
        <f aca="false">E26/AVERAGE($E$19:$E$30)</f>
        <v>1.33292978208232</v>
      </c>
      <c r="G26" s="34" t="n">
        <f aca="false">MAX(0,1+$C$13*(F26-1))</f>
        <v>1.39951573849879</v>
      </c>
      <c r="H26" s="35" t="n">
        <v>1.24</v>
      </c>
      <c r="I26" s="36" t="n">
        <f aca="false">IF(D26=1,MIN($C$14,$C$11*G26),0)</f>
        <v>0.769733656174334</v>
      </c>
      <c r="J26" s="37" t="n">
        <f aca="false">$C$9*C26*I26</f>
        <v>596.543583535109</v>
      </c>
      <c r="K26" s="38" t="n">
        <f aca="false">$C$12*H26/$C$33</f>
        <v>102.471085142054</v>
      </c>
      <c r="L26" s="39" t="n">
        <f aca="false">J26*K26</f>
        <v>61128.468339372</v>
      </c>
    </row>
    <row r="27" customFormat="false" ht="15" hidden="false" customHeight="false" outlineLevel="0" collapsed="false">
      <c r="A27" s="1"/>
      <c r="B27" s="30" t="s">
        <v>72</v>
      </c>
      <c r="C27" s="31" t="n">
        <v>30</v>
      </c>
      <c r="D27" s="32" t="n">
        <v>1</v>
      </c>
      <c r="E27" s="33" t="n">
        <v>0.663</v>
      </c>
      <c r="F27" s="34" t="n">
        <f aca="false">E27/AVERAGE($E$19:$E$30)</f>
        <v>1.20399515738499</v>
      </c>
      <c r="G27" s="34" t="n">
        <f aca="false">MAX(0,1+$C$13*(F27-1))</f>
        <v>1.24479418886199</v>
      </c>
      <c r="H27" s="35" t="n">
        <v>1.04</v>
      </c>
      <c r="I27" s="36" t="n">
        <f aca="false">IF(D27=1,MIN($C$14,$C$11*G27),0)</f>
        <v>0.684636803874092</v>
      </c>
      <c r="J27" s="37" t="n">
        <f aca="false">$C$9*C27*I27</f>
        <v>513.477602905569</v>
      </c>
      <c r="K27" s="38" t="n">
        <f aca="false">$C$12*H27/$C$33</f>
        <v>85.9434907643031</v>
      </c>
      <c r="L27" s="39" t="n">
        <f aca="false">J27*K27</f>
        <v>44130.0576229913</v>
      </c>
    </row>
    <row r="28" customFormat="false" ht="15" hidden="false" customHeight="false" outlineLevel="0" collapsed="false">
      <c r="A28" s="1"/>
      <c r="B28" s="30" t="s">
        <v>73</v>
      </c>
      <c r="C28" s="31" t="n">
        <v>31</v>
      </c>
      <c r="D28" s="32" t="n">
        <v>1</v>
      </c>
      <c r="E28" s="33" t="n">
        <v>0.555</v>
      </c>
      <c r="F28" s="34" t="n">
        <f aca="false">E28/AVERAGE($E$19:$E$30)</f>
        <v>1.00786924939467</v>
      </c>
      <c r="G28" s="34" t="n">
        <f aca="false">MAX(0,1+$C$13*(F28-1))</f>
        <v>1.00944309927361</v>
      </c>
      <c r="H28" s="35" t="n">
        <v>0.96</v>
      </c>
      <c r="I28" s="36" t="n">
        <f aca="false">IF(D28=1,MIN($C$14,$C$11*G28),0)</f>
        <v>0.555193704600484</v>
      </c>
      <c r="J28" s="37" t="n">
        <f aca="false">$C$9*C28*I28</f>
        <v>430.275121065375</v>
      </c>
      <c r="K28" s="38" t="n">
        <f aca="false">$C$12*H28/$C$33</f>
        <v>79.3324530132029</v>
      </c>
      <c r="L28" s="39" t="n">
        <f aca="false">J28*K28</f>
        <v>34134.7808246691</v>
      </c>
    </row>
    <row r="29" customFormat="false" ht="15" hidden="false" customHeight="false" outlineLevel="0" collapsed="false">
      <c r="A29" s="1"/>
      <c r="B29" s="30" t="s">
        <v>74</v>
      </c>
      <c r="C29" s="31" t="n">
        <v>30</v>
      </c>
      <c r="D29" s="32" t="n">
        <v>1</v>
      </c>
      <c r="E29" s="33" t="n">
        <v>0.454</v>
      </c>
      <c r="F29" s="34" t="n">
        <f aca="false">E29/AVERAGE($E$19:$E$30)</f>
        <v>0.824455205811138</v>
      </c>
      <c r="G29" s="34" t="n">
        <f aca="false">MAX(0,1+$C$13*(F29-1))</f>
        <v>0.789346246973366</v>
      </c>
      <c r="H29" s="35" t="n">
        <v>0.91</v>
      </c>
      <c r="I29" s="36" t="n">
        <f aca="false">IF(D29=1,MIN($C$14,$C$11*G29),0)</f>
        <v>0.434140435835351</v>
      </c>
      <c r="J29" s="37" t="n">
        <f aca="false">$C$9*C29*I29</f>
        <v>325.605326876513</v>
      </c>
      <c r="K29" s="38" t="n">
        <f aca="false">$C$12*H29/$C$33</f>
        <v>75.2005544187652</v>
      </c>
      <c r="L29" s="39" t="n">
        <f aca="false">J29*K29</f>
        <v>24485.7011028171</v>
      </c>
    </row>
    <row r="30" customFormat="false" ht="15" hidden="false" customHeight="false" outlineLevel="0" collapsed="false">
      <c r="A30" s="1"/>
      <c r="B30" s="30" t="s">
        <v>75</v>
      </c>
      <c r="C30" s="31" t="n">
        <v>31</v>
      </c>
      <c r="D30" s="32" t="n">
        <v>1</v>
      </c>
      <c r="E30" s="33" t="n">
        <v>0.401</v>
      </c>
      <c r="F30" s="34" t="n">
        <f aca="false">E30/AVERAGE($E$19:$E$30)</f>
        <v>0.728208232445521</v>
      </c>
      <c r="G30" s="34" t="n">
        <f aca="false">MAX(0,1+$C$13*(F30-1))</f>
        <v>0.673849878934625</v>
      </c>
      <c r="H30" s="35" t="n">
        <v>0.92</v>
      </c>
      <c r="I30" s="36" t="n">
        <f aca="false">IF(D30=1,MIN($C$14,$C$11*G30),0)</f>
        <v>0.370617433414044</v>
      </c>
      <c r="J30" s="37" t="n">
        <f aca="false">$C$9*C30*I30</f>
        <v>287.228510895884</v>
      </c>
      <c r="K30" s="38" t="n">
        <f aca="false">$C$12*H30/$C$33</f>
        <v>76.0269341376528</v>
      </c>
      <c r="L30" s="39" t="n">
        <f aca="false">J30*K30</f>
        <v>21837.1030803374</v>
      </c>
    </row>
    <row r="31" customFormat="false" ht="15" hidden="false" customHeight="false" outlineLevel="0" collapsed="false">
      <c r="A31" s="1"/>
      <c r="B31" s="40" t="s">
        <v>76</v>
      </c>
      <c r="C31" s="41" t="n">
        <f aca="false">SUM(C19:C30)</f>
        <v>365</v>
      </c>
      <c r="D31" s="42" t="n">
        <f aca="false">SUMPRODUCT(C19:C30,D19:D30)</f>
        <v>365</v>
      </c>
      <c r="E31" s="43" t="n">
        <f aca="false">AVERAGE(E19:E30)</f>
        <v>0.550666666666667</v>
      </c>
      <c r="F31" s="40"/>
      <c r="G31" s="40"/>
      <c r="H31" s="40"/>
      <c r="I31" s="43" t="n">
        <f aca="false">J31/($C$9*C31)</f>
        <v>0.550737735911639</v>
      </c>
      <c r="J31" s="41" t="n">
        <f aca="false">SUM(J19:J30)</f>
        <v>5025.48184019371</v>
      </c>
      <c r="K31" s="44" t="n">
        <f aca="false">IF(J31=0,0,L31/J31)</f>
        <v>85</v>
      </c>
      <c r="L31" s="45" t="n">
        <f aca="false">SUM(L19:L30)</f>
        <v>427165.956416465</v>
      </c>
    </row>
    <row r="32" customFormat="false" ht="15" hidden="false" customHeight="false" outlineLevel="0" collapsed="false">
      <c r="A32" s="1"/>
      <c r="B32" s="46" t="s">
        <v>77</v>
      </c>
      <c r="C32" s="1"/>
      <c r="D32" s="1"/>
      <c r="E32" s="1"/>
      <c r="F32" s="1"/>
      <c r="G32" s="1"/>
      <c r="H32" s="1"/>
      <c r="I32" s="1"/>
      <c r="J32" s="1"/>
      <c r="K32" s="1"/>
      <c r="L32" s="1"/>
    </row>
    <row r="33" customFormat="false" ht="15" hidden="false" customHeight="false" outlineLevel="0" collapsed="false">
      <c r="A33" s="1"/>
      <c r="B33" s="47" t="s">
        <v>78</v>
      </c>
      <c r="C33" s="48" t="n">
        <f aca="false">IF(SUM(J19:J30)=0,1,SUMPRODUCT(J19:J30,H19:H30)/SUM(J19:J30))</f>
        <v>1.02858284221238</v>
      </c>
      <c r="D33" s="1"/>
      <c r="E33" s="1"/>
      <c r="F33" s="1"/>
      <c r="G33" s="1"/>
      <c r="H33" s="1"/>
      <c r="I33" s="1"/>
      <c r="J33" s="1"/>
      <c r="K33" s="1"/>
      <c r="L33" s="1"/>
    </row>
    <row r="34" customFormat="false" ht="15" hidden="false" customHeight="false" outlineLevel="0" collapsed="false">
      <c r="A34" s="1"/>
      <c r="B34" s="1"/>
      <c r="C34" s="1"/>
      <c r="D34" s="1"/>
      <c r="E34" s="1"/>
      <c r="F34" s="1"/>
      <c r="G34" s="1"/>
      <c r="H34" s="1"/>
      <c r="I34" s="1"/>
      <c r="J34" s="1"/>
      <c r="K34" s="1"/>
      <c r="L34" s="1"/>
    </row>
    <row r="35" customFormat="false" ht="19.5" hidden="false" customHeight="true" outlineLevel="0" collapsed="false">
      <c r="A35" s="1"/>
      <c r="B35" s="14" t="s">
        <v>79</v>
      </c>
      <c r="C35" s="15"/>
      <c r="D35" s="15"/>
      <c r="E35" s="15"/>
      <c r="F35" s="15"/>
      <c r="G35" s="15"/>
      <c r="H35" s="15"/>
      <c r="I35" s="15"/>
      <c r="J35" s="15"/>
      <c r="K35" s="15"/>
      <c r="L35" s="15"/>
    </row>
    <row r="36" customFormat="false" ht="25.5" hidden="false" customHeight="true" outlineLevel="0" collapsed="false">
      <c r="A36" s="1"/>
      <c r="B36" s="16" t="s">
        <v>26</v>
      </c>
      <c r="C36" s="17" t="s">
        <v>27</v>
      </c>
      <c r="D36" s="17" t="s">
        <v>28</v>
      </c>
      <c r="E36" s="17" t="s">
        <v>29</v>
      </c>
      <c r="F36" s="18" t="s">
        <v>30</v>
      </c>
      <c r="G36" s="18"/>
      <c r="H36" s="18"/>
      <c r="I36" s="18"/>
      <c r="J36" s="18"/>
      <c r="K36" s="18"/>
      <c r="L36" s="18"/>
    </row>
    <row r="37" customFormat="false" ht="18" hidden="false" customHeight="true" outlineLevel="0" collapsed="false">
      <c r="A37" s="1"/>
      <c r="B37" s="19" t="s">
        <v>80</v>
      </c>
      <c r="C37" s="49" t="n">
        <f aca="false">D31</f>
        <v>365</v>
      </c>
      <c r="D37" s="21" t="s">
        <v>81</v>
      </c>
      <c r="E37" s="28" t="s">
        <v>47</v>
      </c>
      <c r="F37" s="21" t="s">
        <v>82</v>
      </c>
      <c r="G37" s="21"/>
      <c r="H37" s="21"/>
      <c r="I37" s="21"/>
      <c r="J37" s="21"/>
      <c r="K37" s="21"/>
      <c r="L37" s="21"/>
    </row>
    <row r="38" customFormat="false" ht="18" hidden="false" customHeight="true" outlineLevel="0" collapsed="false">
      <c r="A38" s="1"/>
      <c r="B38" s="19" t="s">
        <v>83</v>
      </c>
      <c r="C38" s="49" t="n">
        <f aca="false">J31</f>
        <v>5025.48184019371</v>
      </c>
      <c r="D38" s="21" t="s">
        <v>84</v>
      </c>
      <c r="E38" s="28" t="s">
        <v>47</v>
      </c>
      <c r="F38" s="21" t="s">
        <v>85</v>
      </c>
      <c r="G38" s="21"/>
      <c r="H38" s="21"/>
      <c r="I38" s="21"/>
      <c r="J38" s="21"/>
      <c r="K38" s="21"/>
      <c r="L38" s="21"/>
    </row>
    <row r="39" customFormat="false" ht="18" hidden="false" customHeight="true" outlineLevel="0" collapsed="false">
      <c r="A39" s="1"/>
      <c r="B39" s="19" t="s">
        <v>86</v>
      </c>
      <c r="C39" s="50" t="n">
        <f aca="false">I31</f>
        <v>0.550737735911639</v>
      </c>
      <c r="D39" s="21" t="s">
        <v>39</v>
      </c>
      <c r="E39" s="28" t="s">
        <v>47</v>
      </c>
      <c r="F39" s="21" t="s">
        <v>87</v>
      </c>
      <c r="G39" s="21"/>
      <c r="H39" s="21"/>
      <c r="I39" s="21"/>
      <c r="J39" s="21"/>
      <c r="K39" s="21"/>
      <c r="L39" s="21"/>
    </row>
    <row r="40" customFormat="false" ht="18" hidden="false" customHeight="true" outlineLevel="0" collapsed="false">
      <c r="A40" s="1"/>
      <c r="B40" s="19" t="s">
        <v>88</v>
      </c>
      <c r="C40" s="51" t="n">
        <f aca="false">K31</f>
        <v>85</v>
      </c>
      <c r="D40" s="21" t="s">
        <v>43</v>
      </c>
      <c r="E40" s="28" t="s">
        <v>47</v>
      </c>
      <c r="F40" s="21" t="s">
        <v>89</v>
      </c>
      <c r="G40" s="21"/>
      <c r="H40" s="21"/>
      <c r="I40" s="21"/>
      <c r="J40" s="21"/>
      <c r="K40" s="21"/>
      <c r="L40" s="21"/>
    </row>
    <row r="41" customFormat="false" ht="30" hidden="false" customHeight="true" outlineLevel="0" collapsed="false">
      <c r="A41" s="1"/>
      <c r="B41" s="19" t="s">
        <v>90</v>
      </c>
      <c r="C41" s="51" t="n">
        <f aca="false">L31/($C$9*C31)</f>
        <v>46.8127075524893</v>
      </c>
      <c r="D41" s="21" t="s">
        <v>43</v>
      </c>
      <c r="E41" s="28" t="s">
        <v>47</v>
      </c>
      <c r="F41" s="21" t="s">
        <v>91</v>
      </c>
      <c r="G41" s="21"/>
      <c r="H41" s="21"/>
      <c r="I41" s="21"/>
      <c r="J41" s="21"/>
      <c r="K41" s="21"/>
      <c r="L41" s="21"/>
    </row>
    <row r="42" customFormat="false" ht="18" hidden="false" customHeight="true" outlineLevel="0" collapsed="false">
      <c r="A42" s="1"/>
      <c r="B42" s="19" t="s">
        <v>92</v>
      </c>
      <c r="C42" s="52" t="n">
        <f aca="false">L31</f>
        <v>427165.956416465</v>
      </c>
      <c r="D42" s="21" t="s">
        <v>43</v>
      </c>
      <c r="E42" s="28" t="s">
        <v>47</v>
      </c>
      <c r="F42" s="21" t="s">
        <v>85</v>
      </c>
      <c r="G42" s="21"/>
      <c r="H42" s="21"/>
      <c r="I42" s="21"/>
      <c r="J42" s="21"/>
      <c r="K42" s="21"/>
      <c r="L42" s="21"/>
    </row>
    <row r="43" customFormat="false" ht="30" hidden="false" customHeight="true" outlineLevel="0" collapsed="false">
      <c r="A43" s="1"/>
      <c r="B43" s="19" t="s">
        <v>93</v>
      </c>
      <c r="C43" s="24" t="n">
        <v>0.55</v>
      </c>
      <c r="D43" s="21" t="s">
        <v>39</v>
      </c>
      <c r="E43" s="22" t="s">
        <v>33</v>
      </c>
      <c r="F43" s="21" t="s">
        <v>94</v>
      </c>
      <c r="G43" s="21"/>
      <c r="H43" s="21"/>
      <c r="I43" s="21"/>
      <c r="J43" s="21"/>
      <c r="K43" s="21"/>
      <c r="L43" s="21"/>
    </row>
    <row r="44" customFormat="false" ht="30" hidden="false" customHeight="true" outlineLevel="0" collapsed="false">
      <c r="A44" s="1"/>
      <c r="B44" s="19" t="s">
        <v>95</v>
      </c>
      <c r="C44" s="26" t="n">
        <v>12</v>
      </c>
      <c r="D44" s="21" t="s">
        <v>43</v>
      </c>
      <c r="E44" s="22" t="s">
        <v>33</v>
      </c>
      <c r="F44" s="21" t="s">
        <v>96</v>
      </c>
      <c r="G44" s="21"/>
      <c r="H44" s="21"/>
      <c r="I44" s="21"/>
      <c r="J44" s="21"/>
      <c r="K44" s="21"/>
      <c r="L44" s="21"/>
    </row>
    <row r="45" customFormat="false" ht="18" hidden="false" customHeight="true" outlineLevel="0" collapsed="false">
      <c r="A45" s="1"/>
      <c r="B45" s="19" t="s">
        <v>97</v>
      </c>
      <c r="C45" s="52" t="n">
        <f aca="false">$C$38*$C$10*$C$43*$C$44</f>
        <v>53069.0882324455</v>
      </c>
      <c r="D45" s="21" t="s">
        <v>43</v>
      </c>
      <c r="E45" s="28" t="s">
        <v>47</v>
      </c>
      <c r="F45" s="21" t="s">
        <v>98</v>
      </c>
      <c r="G45" s="21"/>
      <c r="H45" s="21"/>
      <c r="I45" s="21"/>
      <c r="J45" s="21"/>
      <c r="K45" s="21"/>
      <c r="L45" s="21"/>
    </row>
    <row r="46" customFormat="false" ht="30" hidden="false" customHeight="true" outlineLevel="0" collapsed="false">
      <c r="A46" s="1"/>
      <c r="B46" s="19" t="s">
        <v>99</v>
      </c>
      <c r="C46" s="20" t="n">
        <v>40</v>
      </c>
      <c r="D46" s="21" t="s">
        <v>100</v>
      </c>
      <c r="E46" s="22" t="s">
        <v>33</v>
      </c>
      <c r="F46" s="21" t="s">
        <v>101</v>
      </c>
      <c r="G46" s="21"/>
      <c r="H46" s="21"/>
      <c r="I46" s="21"/>
      <c r="J46" s="21"/>
      <c r="K46" s="21"/>
      <c r="L46" s="21"/>
    </row>
    <row r="47" customFormat="false" ht="30" hidden="false" customHeight="true" outlineLevel="0" collapsed="false">
      <c r="A47" s="1"/>
      <c r="B47" s="19" t="s">
        <v>102</v>
      </c>
      <c r="C47" s="26" t="n">
        <v>30</v>
      </c>
      <c r="D47" s="21" t="s">
        <v>43</v>
      </c>
      <c r="E47" s="22" t="s">
        <v>33</v>
      </c>
      <c r="F47" s="21" t="s">
        <v>103</v>
      </c>
      <c r="G47" s="21"/>
      <c r="H47" s="21"/>
      <c r="I47" s="21"/>
      <c r="J47" s="21"/>
      <c r="K47" s="21"/>
      <c r="L47" s="21"/>
    </row>
    <row r="48" customFormat="false" ht="30" hidden="false" customHeight="true" outlineLevel="0" collapsed="false">
      <c r="A48" s="1"/>
      <c r="B48" s="19" t="s">
        <v>104</v>
      </c>
      <c r="C48" s="20" t="n">
        <v>300</v>
      </c>
      <c r="D48" s="21" t="s">
        <v>81</v>
      </c>
      <c r="E48" s="22" t="s">
        <v>33</v>
      </c>
      <c r="F48" s="21" t="s">
        <v>105</v>
      </c>
      <c r="G48" s="21"/>
      <c r="H48" s="21"/>
      <c r="I48" s="21"/>
      <c r="J48" s="21"/>
      <c r="K48" s="21"/>
      <c r="L48" s="21"/>
    </row>
    <row r="49" customFormat="false" ht="18" hidden="false" customHeight="true" outlineLevel="0" collapsed="false">
      <c r="A49" s="1"/>
      <c r="B49" s="19" t="s">
        <v>106</v>
      </c>
      <c r="C49" s="52" t="n">
        <f aca="false">$C$46*$C$47*$C$48</f>
        <v>360000</v>
      </c>
      <c r="D49" s="21" t="s">
        <v>43</v>
      </c>
      <c r="E49" s="28" t="s">
        <v>47</v>
      </c>
      <c r="F49" s="21" t="s">
        <v>107</v>
      </c>
      <c r="G49" s="21"/>
      <c r="H49" s="21"/>
      <c r="I49" s="21"/>
      <c r="J49" s="21"/>
      <c r="K49" s="21"/>
      <c r="L49" s="21"/>
    </row>
    <row r="50" customFormat="false" ht="30" hidden="false" customHeight="true" outlineLevel="0" collapsed="false">
      <c r="A50" s="1"/>
      <c r="B50" s="19" t="s">
        <v>108</v>
      </c>
      <c r="C50" s="24" t="n">
        <v>0.02</v>
      </c>
      <c r="D50" s="21" t="s">
        <v>39</v>
      </c>
      <c r="E50" s="22" t="s">
        <v>33</v>
      </c>
      <c r="F50" s="21" t="s">
        <v>109</v>
      </c>
      <c r="G50" s="21"/>
      <c r="H50" s="21"/>
      <c r="I50" s="21"/>
      <c r="J50" s="21"/>
      <c r="K50" s="21"/>
      <c r="L50" s="21"/>
    </row>
    <row r="51" customFormat="false" ht="18" hidden="false" customHeight="true" outlineLevel="0" collapsed="false">
      <c r="A51" s="1"/>
      <c r="B51" s="19" t="s">
        <v>110</v>
      </c>
      <c r="C51" s="52" t="n">
        <f aca="false">$C$42*$C$50</f>
        <v>8543.3191283293</v>
      </c>
      <c r="D51" s="21" t="s">
        <v>43</v>
      </c>
      <c r="E51" s="28" t="s">
        <v>47</v>
      </c>
      <c r="F51" s="21" t="s">
        <v>91</v>
      </c>
      <c r="G51" s="21"/>
      <c r="H51" s="21"/>
      <c r="I51" s="21"/>
      <c r="J51" s="21"/>
      <c r="K51" s="21"/>
      <c r="L51" s="21"/>
    </row>
    <row r="52" customFormat="false" ht="30" hidden="false" customHeight="true" outlineLevel="0" collapsed="false">
      <c r="A52" s="1"/>
      <c r="B52" s="19" t="s">
        <v>111</v>
      </c>
      <c r="C52" s="53" t="n">
        <f aca="false">$C$42+$C$45+$C$49+$C$51</f>
        <v>848778.36377724</v>
      </c>
      <c r="D52" s="21" t="s">
        <v>43</v>
      </c>
      <c r="E52" s="28" t="s">
        <v>47</v>
      </c>
      <c r="F52" s="21" t="s">
        <v>112</v>
      </c>
      <c r="G52" s="21"/>
      <c r="H52" s="21"/>
      <c r="I52" s="21"/>
      <c r="J52" s="21"/>
      <c r="K52" s="21"/>
      <c r="L52" s="21"/>
    </row>
    <row r="53" customFormat="false" ht="30" hidden="false" customHeight="true" outlineLevel="0" collapsed="false">
      <c r="A53" s="1"/>
      <c r="B53" s="19" t="s">
        <v>113</v>
      </c>
      <c r="C53" s="52" t="n">
        <f aca="false">$C$52-$C$49</f>
        <v>488778.36377724</v>
      </c>
      <c r="D53" s="21" t="s">
        <v>43</v>
      </c>
      <c r="E53" s="28" t="s">
        <v>47</v>
      </c>
      <c r="F53" s="21" t="s">
        <v>114</v>
      </c>
      <c r="G53" s="21"/>
      <c r="H53" s="21"/>
      <c r="I53" s="21"/>
      <c r="J53" s="21"/>
      <c r="K53" s="21"/>
      <c r="L53" s="21"/>
    </row>
    <row r="54" customFormat="false" ht="15" hidden="false" customHeight="false" outlineLevel="0" collapsed="false">
      <c r="A54" s="1"/>
      <c r="B54" s="1"/>
      <c r="C54" s="1"/>
      <c r="D54" s="1"/>
      <c r="E54" s="1"/>
      <c r="F54" s="1"/>
      <c r="G54" s="1"/>
      <c r="H54" s="1"/>
      <c r="I54" s="1"/>
      <c r="J54" s="1"/>
      <c r="K54" s="1"/>
      <c r="L54" s="1"/>
    </row>
    <row r="55" customFormat="false" ht="19.5" hidden="false" customHeight="true" outlineLevel="0" collapsed="false">
      <c r="A55" s="1"/>
      <c r="B55" s="14" t="s">
        <v>115</v>
      </c>
      <c r="C55" s="15"/>
      <c r="D55" s="15"/>
      <c r="E55" s="15"/>
      <c r="F55" s="15"/>
      <c r="G55" s="15"/>
      <c r="H55" s="15"/>
      <c r="I55" s="15"/>
      <c r="J55" s="15"/>
      <c r="K55" s="15"/>
      <c r="L55" s="15"/>
    </row>
    <row r="56" customFormat="false" ht="25.5" hidden="false" customHeight="true" outlineLevel="0" collapsed="false">
      <c r="A56" s="1"/>
      <c r="B56" s="16" t="s">
        <v>26</v>
      </c>
      <c r="C56" s="17" t="s">
        <v>27</v>
      </c>
      <c r="D56" s="17" t="s">
        <v>28</v>
      </c>
      <c r="E56" s="17" t="s">
        <v>29</v>
      </c>
      <c r="F56" s="18" t="s">
        <v>30</v>
      </c>
      <c r="G56" s="18"/>
      <c r="H56" s="18"/>
      <c r="I56" s="18"/>
      <c r="J56" s="18"/>
      <c r="K56" s="18"/>
      <c r="L56" s="18"/>
    </row>
    <row r="57" customFormat="false" ht="30" hidden="false" customHeight="true" outlineLevel="0" collapsed="false">
      <c r="A57" s="1"/>
      <c r="B57" s="19" t="s">
        <v>116</v>
      </c>
      <c r="C57" s="24" t="n">
        <v>0.92</v>
      </c>
      <c r="D57" s="21" t="s">
        <v>39</v>
      </c>
      <c r="E57" s="22" t="s">
        <v>33</v>
      </c>
      <c r="F57" s="21" t="s">
        <v>117</v>
      </c>
      <c r="G57" s="21"/>
      <c r="H57" s="21"/>
      <c r="I57" s="21"/>
      <c r="J57" s="21"/>
      <c r="K57" s="21"/>
      <c r="L57" s="21"/>
    </row>
    <row r="58" customFormat="false" ht="30" hidden="false" customHeight="true" outlineLevel="0" collapsed="false">
      <c r="A58" s="1"/>
      <c r="B58" s="19" t="s">
        <v>118</v>
      </c>
      <c r="C58" s="24" t="n">
        <v>0.97</v>
      </c>
      <c r="D58" s="21" t="s">
        <v>39</v>
      </c>
      <c r="E58" s="22" t="s">
        <v>33</v>
      </c>
      <c r="F58" s="21" t="s">
        <v>119</v>
      </c>
      <c r="G58" s="21"/>
      <c r="H58" s="21"/>
      <c r="I58" s="21"/>
      <c r="J58" s="21"/>
      <c r="K58" s="21"/>
      <c r="L58" s="21"/>
    </row>
    <row r="59" customFormat="false" ht="30" hidden="false" customHeight="true" outlineLevel="0" collapsed="false">
      <c r="A59" s="1"/>
      <c r="B59" s="19" t="s">
        <v>120</v>
      </c>
      <c r="C59" s="24" t="n">
        <v>1</v>
      </c>
      <c r="D59" s="21" t="s">
        <v>39</v>
      </c>
      <c r="E59" s="22" t="s">
        <v>33</v>
      </c>
      <c r="F59" s="21" t="s">
        <v>121</v>
      </c>
      <c r="G59" s="21"/>
      <c r="H59" s="21"/>
      <c r="I59" s="21"/>
      <c r="J59" s="21"/>
      <c r="K59" s="21"/>
      <c r="L59" s="21"/>
    </row>
    <row r="60" customFormat="false" ht="30" hidden="false" customHeight="true" outlineLevel="0" collapsed="false">
      <c r="A60" s="1"/>
      <c r="B60" s="19" t="s">
        <v>122</v>
      </c>
      <c r="C60" s="24" t="n">
        <v>0.02</v>
      </c>
      <c r="D60" s="21" t="s">
        <v>123</v>
      </c>
      <c r="E60" s="22" t="s">
        <v>33</v>
      </c>
      <c r="F60" s="21" t="s">
        <v>124</v>
      </c>
      <c r="G60" s="21"/>
      <c r="H60" s="21"/>
      <c r="I60" s="21"/>
      <c r="J60" s="21"/>
      <c r="K60" s="21"/>
      <c r="L60" s="21"/>
    </row>
    <row r="61" customFormat="false" ht="30" hidden="false" customHeight="true" outlineLevel="0" collapsed="false">
      <c r="A61" s="1"/>
      <c r="B61" s="19" t="s">
        <v>125</v>
      </c>
      <c r="C61" s="24" t="n">
        <v>0.02</v>
      </c>
      <c r="D61" s="21" t="s">
        <v>123</v>
      </c>
      <c r="E61" s="22" t="s">
        <v>33</v>
      </c>
      <c r="F61" s="21" t="s">
        <v>126</v>
      </c>
      <c r="G61" s="21"/>
      <c r="H61" s="21"/>
      <c r="I61" s="21"/>
      <c r="J61" s="21"/>
      <c r="K61" s="21"/>
      <c r="L61" s="21"/>
    </row>
    <row r="62" customFormat="false" ht="30" hidden="false" customHeight="true" outlineLevel="0" collapsed="false">
      <c r="A62" s="1"/>
      <c r="B62" s="19" t="s">
        <v>127</v>
      </c>
      <c r="C62" s="24" t="n">
        <v>0.025</v>
      </c>
      <c r="D62" s="21" t="s">
        <v>123</v>
      </c>
      <c r="E62" s="22" t="s">
        <v>33</v>
      </c>
      <c r="F62" s="21" t="s">
        <v>128</v>
      </c>
      <c r="G62" s="21"/>
      <c r="H62" s="21"/>
      <c r="I62" s="21"/>
      <c r="J62" s="21"/>
      <c r="K62" s="21"/>
      <c r="L62" s="21"/>
    </row>
    <row r="63" customFormat="false" ht="15" hidden="false" customHeight="false" outlineLevel="0" collapsed="false">
      <c r="A63" s="1"/>
      <c r="B63" s="1"/>
      <c r="C63" s="1"/>
      <c r="D63" s="1"/>
      <c r="E63" s="1"/>
      <c r="F63" s="1"/>
      <c r="G63" s="1"/>
      <c r="H63" s="1"/>
      <c r="I63" s="1"/>
      <c r="J63" s="1"/>
      <c r="K63" s="1"/>
      <c r="L63" s="1"/>
    </row>
    <row r="64" customFormat="false" ht="19.5" hidden="false" customHeight="true" outlineLevel="0" collapsed="false">
      <c r="A64" s="1"/>
      <c r="B64" s="14" t="s">
        <v>129</v>
      </c>
      <c r="C64" s="15"/>
      <c r="D64" s="15"/>
      <c r="E64" s="15"/>
      <c r="F64" s="15"/>
      <c r="G64" s="15"/>
      <c r="H64" s="15"/>
      <c r="I64" s="15"/>
      <c r="J64" s="15"/>
      <c r="K64" s="15"/>
      <c r="L64" s="15"/>
    </row>
    <row r="65" customFormat="false" ht="25.5" hidden="false" customHeight="true" outlineLevel="0" collapsed="false">
      <c r="A65" s="1"/>
      <c r="B65" s="16" t="s">
        <v>26</v>
      </c>
      <c r="C65" s="17" t="s">
        <v>27</v>
      </c>
      <c r="D65" s="17" t="s">
        <v>28</v>
      </c>
      <c r="E65" s="17" t="s">
        <v>29</v>
      </c>
      <c r="F65" s="18" t="s">
        <v>30</v>
      </c>
      <c r="G65" s="18"/>
      <c r="H65" s="18"/>
      <c r="I65" s="18"/>
      <c r="J65" s="18"/>
      <c r="K65" s="18"/>
      <c r="L65" s="18"/>
    </row>
    <row r="66" customFormat="false" ht="30" hidden="false" customHeight="true" outlineLevel="0" collapsed="false">
      <c r="A66" s="1"/>
      <c r="B66" s="19" t="s">
        <v>130</v>
      </c>
      <c r="C66" s="24" t="n">
        <v>0.31</v>
      </c>
      <c r="D66" s="21" t="s">
        <v>39</v>
      </c>
      <c r="E66" s="28" t="s">
        <v>47</v>
      </c>
      <c r="F66" s="21" t="s">
        <v>131</v>
      </c>
      <c r="G66" s="21"/>
      <c r="H66" s="21"/>
      <c r="I66" s="21"/>
      <c r="J66" s="21"/>
      <c r="K66" s="21"/>
      <c r="L66" s="21"/>
    </row>
    <row r="67" customFormat="false" ht="30" hidden="false" customHeight="true" outlineLevel="0" collapsed="false">
      <c r="A67" s="1"/>
      <c r="B67" s="19" t="s">
        <v>132</v>
      </c>
      <c r="C67" s="24" t="n">
        <v>0.3</v>
      </c>
      <c r="D67" s="21" t="s">
        <v>39</v>
      </c>
      <c r="E67" s="25" t="s">
        <v>40</v>
      </c>
      <c r="F67" s="21" t="s">
        <v>133</v>
      </c>
      <c r="G67" s="21"/>
      <c r="H67" s="21"/>
      <c r="I67" s="21"/>
      <c r="J67" s="21"/>
      <c r="K67" s="21"/>
      <c r="L67" s="21"/>
    </row>
    <row r="68" customFormat="false" ht="30" hidden="false" customHeight="true" outlineLevel="0" collapsed="false">
      <c r="A68" s="1"/>
      <c r="B68" s="19" t="s">
        <v>134</v>
      </c>
      <c r="C68" s="24" t="n">
        <v>0.17</v>
      </c>
      <c r="D68" s="21" t="s">
        <v>39</v>
      </c>
      <c r="E68" s="25" t="s">
        <v>40</v>
      </c>
      <c r="F68" s="21" t="s">
        <v>135</v>
      </c>
      <c r="G68" s="21"/>
      <c r="H68" s="21"/>
      <c r="I68" s="21"/>
      <c r="J68" s="21"/>
      <c r="K68" s="21"/>
      <c r="L68" s="21"/>
    </row>
    <row r="69" customFormat="false" ht="30" hidden="false" customHeight="true" outlineLevel="0" collapsed="false">
      <c r="A69" s="1"/>
      <c r="B69" s="19" t="s">
        <v>136</v>
      </c>
      <c r="C69" s="24" t="n">
        <v>0.01</v>
      </c>
      <c r="D69" s="21" t="s">
        <v>39</v>
      </c>
      <c r="E69" s="22" t="s">
        <v>33</v>
      </c>
      <c r="F69" s="21" t="s">
        <v>137</v>
      </c>
      <c r="G69" s="21"/>
      <c r="H69" s="21"/>
      <c r="I69" s="21"/>
      <c r="J69" s="21"/>
      <c r="K69" s="21"/>
      <c r="L69" s="21"/>
    </row>
    <row r="70" customFormat="false" ht="30" hidden="false" customHeight="true" outlineLevel="0" collapsed="false">
      <c r="A70" s="1"/>
      <c r="B70" s="19" t="s">
        <v>138</v>
      </c>
      <c r="C70" s="24" t="n">
        <v>0.03</v>
      </c>
      <c r="D70" s="21" t="s">
        <v>39</v>
      </c>
      <c r="E70" s="22" t="s">
        <v>33</v>
      </c>
      <c r="F70" s="21" t="s">
        <v>139</v>
      </c>
      <c r="G70" s="21"/>
      <c r="H70" s="21"/>
      <c r="I70" s="21"/>
      <c r="J70" s="21"/>
      <c r="K70" s="21"/>
      <c r="L70" s="21"/>
    </row>
    <row r="71" customFormat="false" ht="30" hidden="false" customHeight="true" outlineLevel="0" collapsed="false">
      <c r="A71" s="1"/>
      <c r="B71" s="19" t="s">
        <v>140</v>
      </c>
      <c r="C71" s="24" t="n">
        <v>0.015</v>
      </c>
      <c r="D71" s="21" t="s">
        <v>39</v>
      </c>
      <c r="E71" s="22" t="s">
        <v>33</v>
      </c>
      <c r="F71" s="21" t="s">
        <v>119</v>
      </c>
      <c r="G71" s="21"/>
      <c r="H71" s="21"/>
      <c r="I71" s="21"/>
      <c r="J71" s="21"/>
      <c r="K71" s="21"/>
      <c r="L71" s="21"/>
    </row>
    <row r="72" customFormat="false" ht="15" hidden="false" customHeight="false" outlineLevel="0" collapsed="false">
      <c r="A72" s="1"/>
      <c r="B72" s="1"/>
      <c r="C72" s="1"/>
      <c r="D72" s="1"/>
      <c r="E72" s="1"/>
      <c r="F72" s="1"/>
      <c r="G72" s="1"/>
      <c r="H72" s="1"/>
      <c r="I72" s="1"/>
      <c r="J72" s="1"/>
      <c r="K72" s="1"/>
      <c r="L72" s="1"/>
    </row>
    <row r="73" customFormat="false" ht="19.5" hidden="false" customHeight="true" outlineLevel="0" collapsed="false">
      <c r="A73" s="1"/>
      <c r="B73" s="14" t="s">
        <v>141</v>
      </c>
      <c r="C73" s="15"/>
      <c r="D73" s="15"/>
      <c r="E73" s="15"/>
      <c r="F73" s="15"/>
      <c r="G73" s="15"/>
      <c r="H73" s="15"/>
      <c r="I73" s="15"/>
      <c r="J73" s="15"/>
      <c r="K73" s="15"/>
      <c r="L73" s="15"/>
    </row>
    <row r="74" customFormat="false" ht="25.5" hidden="false" customHeight="true" outlineLevel="0" collapsed="false">
      <c r="A74" s="1"/>
      <c r="B74" s="16" t="s">
        <v>26</v>
      </c>
      <c r="C74" s="17" t="s">
        <v>27</v>
      </c>
      <c r="D74" s="17" t="s">
        <v>28</v>
      </c>
      <c r="E74" s="17" t="s">
        <v>29</v>
      </c>
      <c r="F74" s="18" t="s">
        <v>30</v>
      </c>
      <c r="G74" s="18"/>
      <c r="H74" s="18"/>
      <c r="I74" s="18"/>
      <c r="J74" s="18"/>
      <c r="K74" s="18"/>
      <c r="L74" s="18"/>
    </row>
    <row r="75" customFormat="false" ht="30" hidden="false" customHeight="true" outlineLevel="0" collapsed="false">
      <c r="A75" s="1"/>
      <c r="B75" s="19" t="s">
        <v>142</v>
      </c>
      <c r="C75" s="24" t="n">
        <v>0.3</v>
      </c>
      <c r="D75" s="21" t="s">
        <v>39</v>
      </c>
      <c r="E75" s="25" t="s">
        <v>40</v>
      </c>
      <c r="F75" s="21" t="s">
        <v>143</v>
      </c>
      <c r="G75" s="21"/>
      <c r="H75" s="21"/>
      <c r="I75" s="21"/>
      <c r="J75" s="21"/>
      <c r="K75" s="21"/>
      <c r="L75" s="21"/>
    </row>
    <row r="76" customFormat="false" ht="30" hidden="false" customHeight="true" outlineLevel="0" collapsed="false">
      <c r="A76" s="1"/>
      <c r="B76" s="19" t="s">
        <v>144</v>
      </c>
      <c r="C76" s="54" t="n">
        <v>0.3733</v>
      </c>
      <c r="D76" s="21" t="s">
        <v>39</v>
      </c>
      <c r="E76" s="25" t="s">
        <v>40</v>
      </c>
      <c r="F76" s="21" t="s">
        <v>145</v>
      </c>
      <c r="G76" s="21"/>
      <c r="H76" s="21"/>
      <c r="I76" s="21"/>
      <c r="J76" s="21"/>
      <c r="K76" s="21"/>
      <c r="L76" s="21"/>
    </row>
    <row r="77" customFormat="false" ht="30" hidden="false" customHeight="true" outlineLevel="0" collapsed="false">
      <c r="A77" s="1"/>
      <c r="B77" s="19" t="s">
        <v>146</v>
      </c>
      <c r="C77" s="55" t="n">
        <v>39500</v>
      </c>
      <c r="D77" s="21" t="s">
        <v>147</v>
      </c>
      <c r="E77" s="25" t="s">
        <v>40</v>
      </c>
      <c r="F77" s="21" t="s">
        <v>148</v>
      </c>
      <c r="G77" s="21"/>
      <c r="H77" s="21"/>
      <c r="I77" s="21"/>
      <c r="J77" s="21"/>
      <c r="K77" s="21"/>
      <c r="L77" s="21"/>
    </row>
    <row r="78" customFormat="false" ht="30" hidden="false" customHeight="true" outlineLevel="0" collapsed="false">
      <c r="A78" s="1"/>
      <c r="B78" s="19" t="s">
        <v>149</v>
      </c>
      <c r="C78" s="24" t="n">
        <v>0.038</v>
      </c>
      <c r="D78" s="21" t="s">
        <v>39</v>
      </c>
      <c r="E78" s="25" t="s">
        <v>40</v>
      </c>
      <c r="F78" s="21" t="s">
        <v>150</v>
      </c>
      <c r="G78" s="21"/>
      <c r="H78" s="21"/>
      <c r="I78" s="21"/>
      <c r="J78" s="21"/>
      <c r="K78" s="21"/>
      <c r="L78" s="21"/>
    </row>
    <row r="79" customFormat="false" ht="30" hidden="false" customHeight="true" outlineLevel="0" collapsed="false">
      <c r="A79" s="1"/>
      <c r="B79" s="19" t="s">
        <v>151</v>
      </c>
      <c r="C79" s="24" t="n">
        <v>0.02</v>
      </c>
      <c r="D79" s="21" t="s">
        <v>39</v>
      </c>
      <c r="E79" s="22" t="s">
        <v>33</v>
      </c>
      <c r="F79" s="21" t="s">
        <v>152</v>
      </c>
      <c r="G79" s="21"/>
      <c r="H79" s="21"/>
      <c r="I79" s="21"/>
      <c r="J79" s="21"/>
      <c r="K79" s="21"/>
      <c r="L79" s="21"/>
    </row>
    <row r="80" customFormat="false" ht="30" hidden="false" customHeight="true" outlineLevel="0" collapsed="false">
      <c r="A80" s="1"/>
      <c r="B80" s="19" t="s">
        <v>153</v>
      </c>
      <c r="C80" s="24" t="n">
        <v>0.03</v>
      </c>
      <c r="D80" s="21" t="s">
        <v>39</v>
      </c>
      <c r="E80" s="22" t="s">
        <v>33</v>
      </c>
      <c r="F80" s="21" t="s">
        <v>154</v>
      </c>
      <c r="G80" s="21"/>
      <c r="H80" s="21"/>
      <c r="I80" s="21"/>
      <c r="J80" s="21"/>
      <c r="K80" s="21"/>
      <c r="L80" s="21"/>
    </row>
    <row r="81" customFormat="false" ht="30" hidden="false" customHeight="true" outlineLevel="0" collapsed="false">
      <c r="A81" s="1"/>
      <c r="B81" s="19" t="s">
        <v>155</v>
      </c>
      <c r="C81" s="24" t="n">
        <v>0.025</v>
      </c>
      <c r="D81" s="21" t="s">
        <v>39</v>
      </c>
      <c r="E81" s="22" t="s">
        <v>33</v>
      </c>
      <c r="F81" s="21" t="s">
        <v>119</v>
      </c>
      <c r="G81" s="21"/>
      <c r="H81" s="21"/>
      <c r="I81" s="21"/>
      <c r="J81" s="21"/>
      <c r="K81" s="21"/>
      <c r="L81" s="21"/>
    </row>
    <row r="82" customFormat="false" ht="30" hidden="false" customHeight="true" outlineLevel="0" collapsed="false">
      <c r="A82" s="1"/>
      <c r="B82" s="19" t="s">
        <v>156</v>
      </c>
      <c r="C82" s="24" t="n">
        <v>0.012</v>
      </c>
      <c r="D82" s="21" t="s">
        <v>39</v>
      </c>
      <c r="E82" s="22" t="s">
        <v>33</v>
      </c>
      <c r="F82" s="21" t="s">
        <v>157</v>
      </c>
      <c r="G82" s="21"/>
      <c r="H82" s="21"/>
      <c r="I82" s="21"/>
      <c r="J82" s="21"/>
      <c r="K82" s="21"/>
      <c r="L82" s="21"/>
    </row>
    <row r="83" customFormat="false" ht="30" hidden="false" customHeight="true" outlineLevel="0" collapsed="false">
      <c r="A83" s="1"/>
      <c r="B83" s="19" t="s">
        <v>158</v>
      </c>
      <c r="C83" s="55" t="n">
        <v>12000</v>
      </c>
      <c r="D83" s="21" t="s">
        <v>159</v>
      </c>
      <c r="E83" s="22" t="s">
        <v>33</v>
      </c>
      <c r="F83" s="21" t="s">
        <v>119</v>
      </c>
      <c r="G83" s="21"/>
      <c r="H83" s="21"/>
      <c r="I83" s="21"/>
      <c r="J83" s="21"/>
      <c r="K83" s="21"/>
      <c r="L83" s="21"/>
    </row>
    <row r="84" customFormat="false" ht="30" hidden="false" customHeight="true" outlineLevel="0" collapsed="false">
      <c r="A84" s="1"/>
      <c r="B84" s="19" t="s">
        <v>160</v>
      </c>
      <c r="C84" s="24" t="n">
        <v>0.015</v>
      </c>
      <c r="D84" s="21" t="s">
        <v>39</v>
      </c>
      <c r="E84" s="22" t="s">
        <v>33</v>
      </c>
      <c r="F84" s="21" t="s">
        <v>161</v>
      </c>
      <c r="G84" s="21"/>
      <c r="H84" s="21"/>
      <c r="I84" s="21"/>
      <c r="J84" s="21"/>
      <c r="K84" s="21"/>
      <c r="L84" s="21"/>
    </row>
    <row r="85" customFormat="false" ht="30" hidden="false" customHeight="true" outlineLevel="0" collapsed="false">
      <c r="A85" s="1"/>
      <c r="B85" s="19" t="s">
        <v>162</v>
      </c>
      <c r="C85" s="24" t="n">
        <v>0.025</v>
      </c>
      <c r="D85" s="21" t="s">
        <v>39</v>
      </c>
      <c r="E85" s="22" t="s">
        <v>33</v>
      </c>
      <c r="F85" s="21" t="s">
        <v>119</v>
      </c>
      <c r="G85" s="21"/>
      <c r="H85" s="21"/>
      <c r="I85" s="21"/>
      <c r="J85" s="21"/>
      <c r="K85" s="21"/>
      <c r="L85" s="21"/>
    </row>
    <row r="86" customFormat="false" ht="30" hidden="false" customHeight="true" outlineLevel="0" collapsed="false">
      <c r="A86" s="1"/>
      <c r="B86" s="19" t="s">
        <v>163</v>
      </c>
      <c r="C86" s="24" t="n">
        <v>0.04</v>
      </c>
      <c r="D86" s="21" t="s">
        <v>39</v>
      </c>
      <c r="E86" s="25" t="s">
        <v>40</v>
      </c>
      <c r="F86" s="21" t="s">
        <v>164</v>
      </c>
      <c r="G86" s="21"/>
      <c r="H86" s="21"/>
      <c r="I86" s="21"/>
      <c r="J86" s="21"/>
      <c r="K86" s="21"/>
      <c r="L86" s="21"/>
    </row>
    <row r="87" customFormat="false" ht="15" hidden="false" customHeight="false" outlineLevel="0" collapsed="false">
      <c r="A87" s="1"/>
      <c r="B87" s="1"/>
      <c r="C87" s="1"/>
      <c r="D87" s="1"/>
      <c r="E87" s="1"/>
      <c r="F87" s="1"/>
      <c r="G87" s="1"/>
      <c r="H87" s="1"/>
      <c r="I87" s="1"/>
      <c r="J87" s="1"/>
      <c r="K87" s="1"/>
      <c r="L87" s="1"/>
    </row>
    <row r="88" customFormat="false" ht="19.5" hidden="false" customHeight="true" outlineLevel="0" collapsed="false">
      <c r="A88" s="1"/>
      <c r="B88" s="14" t="s">
        <v>165</v>
      </c>
      <c r="C88" s="15"/>
      <c r="D88" s="15"/>
      <c r="E88" s="15"/>
      <c r="F88" s="15"/>
      <c r="G88" s="15"/>
      <c r="H88" s="15"/>
      <c r="I88" s="15"/>
      <c r="J88" s="15"/>
      <c r="K88" s="15"/>
      <c r="L88" s="15"/>
    </row>
    <row r="89" customFormat="false" ht="25.5" hidden="false" customHeight="true" outlineLevel="0" collapsed="false">
      <c r="A89" s="1"/>
      <c r="B89" s="16" t="s">
        <v>26</v>
      </c>
      <c r="C89" s="17" t="s">
        <v>27</v>
      </c>
      <c r="D89" s="17" t="s">
        <v>28</v>
      </c>
      <c r="E89" s="17" t="s">
        <v>29</v>
      </c>
      <c r="F89" s="18" t="s">
        <v>30</v>
      </c>
      <c r="G89" s="18"/>
      <c r="H89" s="18"/>
      <c r="I89" s="18"/>
      <c r="J89" s="18"/>
      <c r="K89" s="18"/>
      <c r="L89" s="18"/>
    </row>
    <row r="90" customFormat="false" ht="54.75" hidden="false" customHeight="true" outlineLevel="0" collapsed="false">
      <c r="A90" s="1"/>
      <c r="B90" s="19" t="s">
        <v>166</v>
      </c>
      <c r="C90" s="24" t="n">
        <v>0.1</v>
      </c>
      <c r="D90" s="21" t="s">
        <v>39</v>
      </c>
      <c r="E90" s="25" t="s">
        <v>40</v>
      </c>
      <c r="F90" s="21" t="s">
        <v>167</v>
      </c>
      <c r="G90" s="21"/>
      <c r="H90" s="21"/>
      <c r="I90" s="21"/>
      <c r="J90" s="21"/>
      <c r="K90" s="21"/>
      <c r="L90" s="21"/>
    </row>
    <row r="91" customFormat="false" ht="30" hidden="false" customHeight="true" outlineLevel="0" collapsed="false">
      <c r="A91" s="1"/>
      <c r="B91" s="19" t="s">
        <v>168</v>
      </c>
      <c r="C91" s="52" t="n">
        <f aca="false">$C$90*$C$52</f>
        <v>84877.836377724</v>
      </c>
      <c r="D91" s="21" t="s">
        <v>43</v>
      </c>
      <c r="E91" s="28" t="s">
        <v>47</v>
      </c>
      <c r="F91" s="21" t="s">
        <v>169</v>
      </c>
      <c r="G91" s="21"/>
      <c r="H91" s="21"/>
      <c r="I91" s="21"/>
      <c r="J91" s="21"/>
      <c r="K91" s="21"/>
      <c r="L91" s="21"/>
    </row>
    <row r="92" customFormat="false" ht="30" hidden="false" customHeight="true" outlineLevel="0" collapsed="false">
      <c r="A92" s="1"/>
      <c r="B92" s="19" t="s">
        <v>170</v>
      </c>
      <c r="C92" s="24" t="n">
        <v>0.1</v>
      </c>
      <c r="D92" s="21" t="s">
        <v>39</v>
      </c>
      <c r="E92" s="22" t="s">
        <v>33</v>
      </c>
      <c r="F92" s="21" t="s">
        <v>171</v>
      </c>
      <c r="G92" s="21"/>
      <c r="H92" s="21"/>
      <c r="I92" s="21"/>
      <c r="J92" s="21"/>
      <c r="K92" s="21"/>
      <c r="L92" s="21"/>
    </row>
    <row r="93" customFormat="false" ht="42" hidden="false" customHeight="true" outlineLevel="0" collapsed="false">
      <c r="A93" s="1"/>
      <c r="B93" s="19" t="s">
        <v>172</v>
      </c>
      <c r="C93" s="24" t="n">
        <v>0.075</v>
      </c>
      <c r="D93" s="21" t="s">
        <v>39</v>
      </c>
      <c r="E93" s="25" t="s">
        <v>40</v>
      </c>
      <c r="F93" s="21" t="s">
        <v>173</v>
      </c>
      <c r="G93" s="21"/>
      <c r="H93" s="21"/>
      <c r="I93" s="21"/>
      <c r="J93" s="21"/>
      <c r="K93" s="21"/>
      <c r="L93" s="21"/>
    </row>
    <row r="94" customFormat="false" ht="42" hidden="false" customHeight="true" outlineLevel="0" collapsed="false">
      <c r="A94" s="1"/>
      <c r="B94" s="19" t="s">
        <v>174</v>
      </c>
      <c r="C94" s="24" t="n">
        <v>0.785</v>
      </c>
      <c r="D94" s="21" t="s">
        <v>39</v>
      </c>
      <c r="E94" s="25" t="s">
        <v>40</v>
      </c>
      <c r="F94" s="21" t="s">
        <v>175</v>
      </c>
      <c r="G94" s="21"/>
      <c r="H94" s="21"/>
      <c r="I94" s="21"/>
      <c r="J94" s="21"/>
      <c r="K94" s="21"/>
      <c r="L94" s="21"/>
    </row>
    <row r="95" customFormat="false" ht="30" hidden="false" customHeight="true" outlineLevel="0" collapsed="false">
      <c r="A95" s="1"/>
      <c r="B95" s="19" t="s">
        <v>176</v>
      </c>
      <c r="C95" s="55" t="n">
        <v>4000</v>
      </c>
      <c r="D95" s="21" t="s">
        <v>177</v>
      </c>
      <c r="E95" s="22" t="s">
        <v>33</v>
      </c>
      <c r="F95" s="21" t="s">
        <v>178</v>
      </c>
      <c r="G95" s="21"/>
      <c r="H95" s="21"/>
      <c r="I95" s="21"/>
      <c r="J95" s="21"/>
      <c r="K95" s="21"/>
      <c r="L95" s="21"/>
    </row>
    <row r="96" customFormat="false" ht="30" hidden="false" customHeight="true" outlineLevel="0" collapsed="false">
      <c r="A96" s="1"/>
      <c r="B96" s="19" t="s">
        <v>179</v>
      </c>
      <c r="C96" s="55" t="n">
        <v>8000</v>
      </c>
      <c r="D96" s="21" t="s">
        <v>177</v>
      </c>
      <c r="E96" s="25" t="s">
        <v>40</v>
      </c>
      <c r="F96" s="21" t="s">
        <v>180</v>
      </c>
      <c r="G96" s="21"/>
      <c r="H96" s="21"/>
      <c r="I96" s="21"/>
      <c r="J96" s="21"/>
      <c r="K96" s="21"/>
      <c r="L96" s="21"/>
    </row>
    <row r="97" customFormat="false" ht="30" hidden="false" customHeight="true" outlineLevel="0" collapsed="false">
      <c r="A97" s="1"/>
      <c r="B97" s="19" t="s">
        <v>181</v>
      </c>
      <c r="C97" s="55" t="n">
        <v>120000</v>
      </c>
      <c r="D97" s="21" t="s">
        <v>147</v>
      </c>
      <c r="E97" s="22" t="s">
        <v>33</v>
      </c>
      <c r="F97" s="21" t="s">
        <v>157</v>
      </c>
      <c r="G97" s="21"/>
      <c r="H97" s="21"/>
      <c r="I97" s="21"/>
      <c r="J97" s="21"/>
      <c r="K97" s="21"/>
      <c r="L97" s="21"/>
    </row>
    <row r="98" customFormat="false" ht="15" hidden="false" customHeight="false" outlineLevel="0" collapsed="false">
      <c r="A98" s="1"/>
      <c r="B98" s="1"/>
      <c r="C98" s="1"/>
      <c r="D98" s="1"/>
      <c r="E98" s="1"/>
      <c r="F98" s="1"/>
      <c r="G98" s="1"/>
      <c r="H98" s="1"/>
      <c r="I98" s="1"/>
      <c r="J98" s="1"/>
      <c r="K98" s="1"/>
      <c r="L98" s="1"/>
    </row>
    <row r="99" customFormat="false" ht="19.5" hidden="false" customHeight="true" outlineLevel="0" collapsed="false">
      <c r="A99" s="1"/>
      <c r="B99" s="14" t="s">
        <v>182</v>
      </c>
      <c r="C99" s="15"/>
      <c r="D99" s="15"/>
      <c r="E99" s="15"/>
      <c r="F99" s="15"/>
      <c r="G99" s="15"/>
      <c r="H99" s="15"/>
      <c r="I99" s="15"/>
      <c r="J99" s="15"/>
      <c r="K99" s="15"/>
      <c r="L99" s="15"/>
    </row>
    <row r="100" customFormat="false" ht="25.5" hidden="false" customHeight="true" outlineLevel="0" collapsed="false">
      <c r="A100" s="1"/>
      <c r="B100" s="16" t="s">
        <v>26</v>
      </c>
      <c r="C100" s="17" t="s">
        <v>27</v>
      </c>
      <c r="D100" s="17" t="s">
        <v>28</v>
      </c>
      <c r="E100" s="17" t="s">
        <v>29</v>
      </c>
      <c r="F100" s="18" t="s">
        <v>30</v>
      </c>
      <c r="G100" s="18"/>
      <c r="H100" s="18"/>
      <c r="I100" s="18"/>
      <c r="J100" s="18"/>
      <c r="K100" s="18"/>
      <c r="L100" s="18"/>
    </row>
    <row r="101" customFormat="false" ht="67.5" hidden="false" customHeight="true" outlineLevel="0" collapsed="false">
      <c r="A101" s="1"/>
      <c r="B101" s="19" t="s">
        <v>183</v>
      </c>
      <c r="C101" s="24" t="n">
        <v>0.078</v>
      </c>
      <c r="D101" s="21" t="s">
        <v>39</v>
      </c>
      <c r="E101" s="25" t="s">
        <v>40</v>
      </c>
      <c r="F101" s="21" t="s">
        <v>184</v>
      </c>
      <c r="G101" s="21"/>
      <c r="H101" s="21"/>
      <c r="I101" s="21"/>
      <c r="J101" s="21"/>
      <c r="K101" s="21"/>
      <c r="L101" s="21"/>
    </row>
    <row r="102" customFormat="false" ht="30" hidden="false" customHeight="true" outlineLevel="0" collapsed="false">
      <c r="A102" s="1"/>
      <c r="B102" s="19" t="s">
        <v>185</v>
      </c>
      <c r="C102" s="56" t="n">
        <v>0.063185</v>
      </c>
      <c r="D102" s="21" t="s">
        <v>39</v>
      </c>
      <c r="E102" s="25" t="s">
        <v>40</v>
      </c>
      <c r="F102" s="21" t="s">
        <v>186</v>
      </c>
      <c r="G102" s="21"/>
      <c r="H102" s="21"/>
      <c r="I102" s="21"/>
      <c r="J102" s="21"/>
      <c r="K102" s="21"/>
      <c r="L102" s="21"/>
    </row>
    <row r="103" customFormat="false" ht="30" hidden="false" customHeight="true" outlineLevel="0" collapsed="false">
      <c r="A103" s="1"/>
      <c r="B103" s="19" t="s">
        <v>187</v>
      </c>
      <c r="C103" s="54" t="n">
        <v>0.001</v>
      </c>
      <c r="D103" s="21" t="s">
        <v>39</v>
      </c>
      <c r="E103" s="25" t="s">
        <v>40</v>
      </c>
      <c r="F103" s="21" t="s">
        <v>188</v>
      </c>
      <c r="G103" s="21"/>
      <c r="H103" s="21"/>
      <c r="I103" s="21"/>
      <c r="J103" s="21"/>
      <c r="K103" s="21"/>
      <c r="L103" s="21"/>
    </row>
    <row r="104" customFormat="false" ht="30" hidden="false" customHeight="true" outlineLevel="0" collapsed="false">
      <c r="A104" s="1"/>
      <c r="B104" s="19" t="s">
        <v>189</v>
      </c>
      <c r="C104" s="56" t="n">
        <v>0.00799</v>
      </c>
      <c r="D104" s="21" t="s">
        <v>39</v>
      </c>
      <c r="E104" s="25" t="s">
        <v>40</v>
      </c>
      <c r="F104" s="21" t="s">
        <v>190</v>
      </c>
      <c r="G104" s="21"/>
      <c r="H104" s="21"/>
      <c r="I104" s="21"/>
      <c r="J104" s="21"/>
      <c r="K104" s="21"/>
      <c r="L104" s="21"/>
    </row>
    <row r="105" customFormat="false" ht="18" hidden="false" customHeight="true" outlineLevel="0" collapsed="false">
      <c r="A105" s="1"/>
      <c r="B105" s="19" t="s">
        <v>191</v>
      </c>
      <c r="C105" s="24" t="n">
        <v>0.2</v>
      </c>
      <c r="D105" s="21" t="s">
        <v>39</v>
      </c>
      <c r="E105" s="25" t="s">
        <v>40</v>
      </c>
      <c r="F105" s="21" t="s">
        <v>192</v>
      </c>
      <c r="G105" s="21"/>
      <c r="H105" s="21"/>
      <c r="I105" s="21"/>
      <c r="J105" s="21"/>
      <c r="K105" s="21"/>
      <c r="L105" s="21"/>
    </row>
    <row r="106" customFormat="false" ht="30" hidden="false" customHeight="true" outlineLevel="0" collapsed="false">
      <c r="A106" s="1"/>
      <c r="B106" s="19" t="s">
        <v>193</v>
      </c>
      <c r="C106" s="26" t="n">
        <v>339.58</v>
      </c>
      <c r="D106" s="21" t="s">
        <v>147</v>
      </c>
      <c r="E106" s="25" t="s">
        <v>40</v>
      </c>
      <c r="F106" s="21" t="s">
        <v>194</v>
      </c>
      <c r="G106" s="21"/>
      <c r="H106" s="21"/>
      <c r="I106" s="21"/>
      <c r="J106" s="21"/>
      <c r="K106" s="21"/>
      <c r="L106" s="21"/>
    </row>
    <row r="107" customFormat="false" ht="42" hidden="false" customHeight="true" outlineLevel="0" collapsed="false">
      <c r="A107" s="1"/>
      <c r="B107" s="19" t="s">
        <v>195</v>
      </c>
      <c r="C107" s="57" t="n">
        <f aca="false">IF(Financement!$C$15=0,0,(Financement!$C$15*($C$102+$C$103+$C$104*(1+$C$105))+$C$106*(1+$C$105))/Financement!$C$15)</f>
        <v>0.0741330727976146</v>
      </c>
      <c r="D107" s="21" t="s">
        <v>39</v>
      </c>
      <c r="E107" s="28" t="s">
        <v>47</v>
      </c>
      <c r="F107" s="21" t="s">
        <v>196</v>
      </c>
      <c r="G107" s="21"/>
      <c r="H107" s="21"/>
      <c r="I107" s="21"/>
      <c r="J107" s="21"/>
      <c r="K107" s="21"/>
      <c r="L107" s="21"/>
    </row>
    <row r="108" customFormat="false" ht="54.75" hidden="false" customHeight="true" outlineLevel="0" collapsed="false">
      <c r="A108" s="1"/>
      <c r="B108" s="19" t="s">
        <v>197</v>
      </c>
      <c r="C108" s="24" t="n">
        <v>0.04</v>
      </c>
      <c r="D108" s="21" t="s">
        <v>39</v>
      </c>
      <c r="E108" s="22" t="s">
        <v>33</v>
      </c>
      <c r="F108" s="21" t="s">
        <v>198</v>
      </c>
      <c r="G108" s="21"/>
      <c r="H108" s="21"/>
      <c r="I108" s="21"/>
      <c r="J108" s="21"/>
      <c r="K108" s="21"/>
      <c r="L108" s="21"/>
    </row>
    <row r="109" customFormat="false" ht="30" hidden="false" customHeight="true" outlineLevel="0" collapsed="false">
      <c r="A109" s="1"/>
      <c r="B109" s="19" t="s">
        <v>199</v>
      </c>
      <c r="C109" s="55" t="n">
        <v>23000</v>
      </c>
      <c r="D109" s="21" t="s">
        <v>147</v>
      </c>
      <c r="E109" s="25" t="s">
        <v>40</v>
      </c>
      <c r="F109" s="21" t="s">
        <v>200</v>
      </c>
      <c r="G109" s="21"/>
      <c r="H109" s="21"/>
      <c r="I109" s="21"/>
      <c r="J109" s="21"/>
      <c r="K109" s="21"/>
      <c r="L109" s="21"/>
    </row>
    <row r="110" customFormat="false" ht="30" hidden="false" customHeight="true" outlineLevel="0" collapsed="false">
      <c r="A110" s="1"/>
      <c r="B110" s="19" t="s">
        <v>201</v>
      </c>
      <c r="C110" s="55" t="n">
        <v>200000</v>
      </c>
      <c r="D110" s="21" t="s">
        <v>147</v>
      </c>
      <c r="E110" s="25" t="s">
        <v>40</v>
      </c>
      <c r="F110" s="21" t="s">
        <v>202</v>
      </c>
      <c r="G110" s="21"/>
      <c r="H110" s="21"/>
      <c r="I110" s="21"/>
      <c r="J110" s="21"/>
      <c r="K110" s="21"/>
      <c r="L110" s="21"/>
    </row>
    <row r="111" customFormat="false" ht="30" hidden="false" customHeight="true" outlineLevel="0" collapsed="false">
      <c r="A111" s="1"/>
      <c r="B111" s="19" t="s">
        <v>203</v>
      </c>
      <c r="C111" s="24" t="n">
        <v>0.03</v>
      </c>
      <c r="D111" s="21" t="s">
        <v>39</v>
      </c>
      <c r="E111" s="25" t="s">
        <v>40</v>
      </c>
      <c r="F111" s="21" t="s">
        <v>202</v>
      </c>
      <c r="G111" s="21"/>
      <c r="H111" s="21"/>
      <c r="I111" s="21"/>
      <c r="J111" s="21"/>
      <c r="K111" s="21"/>
      <c r="L111" s="21"/>
    </row>
    <row r="112" customFormat="false" ht="30" hidden="false" customHeight="true" outlineLevel="0" collapsed="false">
      <c r="A112" s="1"/>
      <c r="B112" s="19" t="s">
        <v>204</v>
      </c>
      <c r="C112" s="24" t="n">
        <v>0.05</v>
      </c>
      <c r="D112" s="21" t="s">
        <v>39</v>
      </c>
      <c r="E112" s="25" t="s">
        <v>40</v>
      </c>
      <c r="F112" s="21" t="s">
        <v>202</v>
      </c>
      <c r="G112" s="21"/>
      <c r="H112" s="21"/>
      <c r="I112" s="21"/>
      <c r="J112" s="21"/>
      <c r="K112" s="21"/>
      <c r="L112" s="21"/>
    </row>
    <row r="113" customFormat="false" ht="54.75" hidden="false" customHeight="true" outlineLevel="0" collapsed="false">
      <c r="A113" s="1"/>
      <c r="B113" s="19" t="s">
        <v>205</v>
      </c>
      <c r="C113" s="24" t="n">
        <v>0.05</v>
      </c>
      <c r="D113" s="21" t="s">
        <v>39</v>
      </c>
      <c r="E113" s="22" t="s">
        <v>33</v>
      </c>
      <c r="F113" s="21" t="s">
        <v>206</v>
      </c>
      <c r="G113" s="21"/>
      <c r="H113" s="21"/>
      <c r="I113" s="21"/>
      <c r="J113" s="21"/>
      <c r="K113" s="21"/>
      <c r="L113" s="21"/>
    </row>
    <row r="114" customFormat="false" ht="30" hidden="false" customHeight="true" outlineLevel="0" collapsed="false">
      <c r="A114" s="1"/>
      <c r="B114" s="19" t="s">
        <v>207</v>
      </c>
      <c r="C114" s="24" t="n">
        <v>0.025</v>
      </c>
      <c r="D114" s="21" t="s">
        <v>39</v>
      </c>
      <c r="E114" s="22" t="s">
        <v>33</v>
      </c>
      <c r="F114" s="21" t="s">
        <v>208</v>
      </c>
      <c r="G114" s="21"/>
      <c r="H114" s="21"/>
      <c r="I114" s="21"/>
      <c r="J114" s="21"/>
      <c r="K114" s="21"/>
      <c r="L114" s="21"/>
    </row>
    <row r="115" customFormat="false" ht="30" hidden="false" customHeight="true" outlineLevel="0" collapsed="false">
      <c r="A115" s="1"/>
      <c r="B115" s="19" t="s">
        <v>209</v>
      </c>
      <c r="C115" s="55" t="n">
        <v>7000</v>
      </c>
      <c r="D115" s="21" t="s">
        <v>147</v>
      </c>
      <c r="E115" s="22" t="s">
        <v>33</v>
      </c>
      <c r="F115" s="21" t="s">
        <v>210</v>
      </c>
      <c r="G115" s="21"/>
      <c r="H115" s="21"/>
      <c r="I115" s="21"/>
      <c r="J115" s="21"/>
      <c r="K115" s="21"/>
      <c r="L115" s="21"/>
    </row>
    <row r="116" customFormat="false" ht="30" hidden="false" customHeight="true" outlineLevel="0" collapsed="false">
      <c r="A116" s="1"/>
      <c r="B116" s="19" t="s">
        <v>211</v>
      </c>
      <c r="C116" s="55" t="n">
        <v>10000</v>
      </c>
      <c r="D116" s="21" t="s">
        <v>147</v>
      </c>
      <c r="E116" s="22" t="s">
        <v>33</v>
      </c>
      <c r="F116" s="21" t="s">
        <v>212</v>
      </c>
      <c r="G116" s="21"/>
      <c r="H116" s="21"/>
      <c r="I116" s="21"/>
      <c r="J116" s="21"/>
      <c r="K116" s="21"/>
      <c r="L116" s="21"/>
    </row>
    <row r="117" customFormat="false" ht="30" hidden="false" customHeight="true" outlineLevel="0" collapsed="false">
      <c r="A117" s="1"/>
      <c r="B117" s="19" t="s">
        <v>213</v>
      </c>
      <c r="C117" s="24" t="n">
        <v>0.01</v>
      </c>
      <c r="D117" s="21" t="s">
        <v>39</v>
      </c>
      <c r="E117" s="22" t="s">
        <v>33</v>
      </c>
      <c r="F117" s="21" t="s">
        <v>214</v>
      </c>
      <c r="G117" s="21"/>
      <c r="H117" s="21"/>
      <c r="I117" s="21"/>
      <c r="J117" s="21"/>
      <c r="K117" s="21"/>
      <c r="L117" s="21"/>
    </row>
    <row r="118" customFormat="false" ht="42" hidden="false" customHeight="true" outlineLevel="0" collapsed="false">
      <c r="A118" s="1"/>
      <c r="B118" s="19" t="s">
        <v>215</v>
      </c>
      <c r="C118" s="55" t="n">
        <v>50000</v>
      </c>
      <c r="D118" s="21" t="s">
        <v>147</v>
      </c>
      <c r="E118" s="22" t="s">
        <v>33</v>
      </c>
      <c r="F118" s="21" t="s">
        <v>216</v>
      </c>
      <c r="G118" s="21"/>
      <c r="H118" s="21"/>
      <c r="I118" s="21"/>
      <c r="J118" s="21"/>
      <c r="K118" s="21"/>
      <c r="L118" s="21"/>
    </row>
    <row r="119" customFormat="false" ht="15" hidden="false" customHeight="false" outlineLevel="0" collapsed="false">
      <c r="A119" s="1"/>
      <c r="B119" s="1"/>
      <c r="C119" s="1"/>
      <c r="D119" s="1"/>
      <c r="E119" s="1"/>
      <c r="F119" s="1"/>
      <c r="G119" s="1"/>
      <c r="H119" s="1"/>
      <c r="I119" s="1"/>
      <c r="J119" s="1"/>
      <c r="K119" s="1"/>
      <c r="L119" s="1"/>
    </row>
    <row r="120" customFormat="false" ht="19.5" hidden="false" customHeight="true" outlineLevel="0" collapsed="false">
      <c r="A120" s="1"/>
      <c r="B120" s="14" t="s">
        <v>217</v>
      </c>
      <c r="C120" s="15"/>
      <c r="D120" s="15"/>
      <c r="E120" s="15"/>
      <c r="F120" s="15"/>
      <c r="G120" s="15"/>
      <c r="H120" s="15"/>
      <c r="I120" s="15"/>
      <c r="J120" s="15"/>
      <c r="K120" s="15"/>
      <c r="L120" s="15"/>
    </row>
    <row r="121" customFormat="false" ht="25.5" hidden="false" customHeight="true" outlineLevel="0" collapsed="false">
      <c r="A121" s="1"/>
      <c r="B121" s="16" t="s">
        <v>26</v>
      </c>
      <c r="C121" s="17" t="s">
        <v>27</v>
      </c>
      <c r="D121" s="17" t="s">
        <v>28</v>
      </c>
      <c r="E121" s="17" t="s">
        <v>29</v>
      </c>
      <c r="F121" s="18" t="s">
        <v>30</v>
      </c>
      <c r="G121" s="18"/>
      <c r="H121" s="18"/>
      <c r="I121" s="18"/>
      <c r="J121" s="18"/>
      <c r="K121" s="18"/>
      <c r="L121" s="18"/>
    </row>
    <row r="122" customFormat="false" ht="30" hidden="false" customHeight="true" outlineLevel="0" collapsed="false">
      <c r="A122" s="1"/>
      <c r="B122" s="19" t="s">
        <v>218</v>
      </c>
      <c r="C122" s="24" t="n">
        <v>0.2</v>
      </c>
      <c r="D122" s="21" t="s">
        <v>39</v>
      </c>
      <c r="E122" s="25" t="s">
        <v>40</v>
      </c>
      <c r="F122" s="21" t="s">
        <v>219</v>
      </c>
      <c r="G122" s="21"/>
      <c r="H122" s="21"/>
      <c r="I122" s="21"/>
      <c r="J122" s="21"/>
      <c r="K122" s="21"/>
      <c r="L122" s="21"/>
    </row>
    <row r="123" customFormat="false" ht="30" hidden="false" customHeight="true" outlineLevel="0" collapsed="false">
      <c r="A123" s="1"/>
      <c r="B123" s="19" t="s">
        <v>220</v>
      </c>
      <c r="C123" s="24" t="n">
        <v>0.3</v>
      </c>
      <c r="D123" s="21" t="s">
        <v>39</v>
      </c>
      <c r="E123" s="25" t="s">
        <v>40</v>
      </c>
      <c r="F123" s="21" t="s">
        <v>221</v>
      </c>
      <c r="G123" s="21"/>
      <c r="H123" s="21"/>
      <c r="I123" s="21"/>
      <c r="J123" s="21"/>
      <c r="K123" s="21"/>
      <c r="L123" s="21"/>
    </row>
    <row r="124" customFormat="false" ht="30" hidden="false" customHeight="true" outlineLevel="0" collapsed="false">
      <c r="A124" s="1"/>
      <c r="B124" s="19" t="s">
        <v>222</v>
      </c>
      <c r="C124" s="54" t="n">
        <v>0.0371</v>
      </c>
      <c r="D124" s="21" t="s">
        <v>39</v>
      </c>
      <c r="E124" s="25" t="s">
        <v>40</v>
      </c>
      <c r="F124" s="21" t="s">
        <v>223</v>
      </c>
      <c r="G124" s="21"/>
      <c r="H124" s="21"/>
      <c r="I124" s="21"/>
      <c r="J124" s="21"/>
      <c r="K124" s="21"/>
      <c r="L124" s="21"/>
    </row>
    <row r="125" customFormat="false" ht="30" hidden="false" customHeight="true" outlineLevel="0" collapsed="false">
      <c r="A125" s="1"/>
      <c r="B125" s="19" t="s">
        <v>224</v>
      </c>
      <c r="C125" s="54" t="n">
        <v>0.003</v>
      </c>
      <c r="D125" s="21" t="s">
        <v>225</v>
      </c>
      <c r="E125" s="22" t="s">
        <v>33</v>
      </c>
      <c r="F125" s="21" t="s">
        <v>226</v>
      </c>
      <c r="G125" s="21"/>
      <c r="H125" s="21"/>
      <c r="I125" s="21"/>
      <c r="J125" s="21"/>
      <c r="K125" s="21"/>
      <c r="L125" s="21"/>
    </row>
    <row r="126" customFormat="false" ht="30" hidden="false" customHeight="true" outlineLevel="0" collapsed="false">
      <c r="A126" s="1"/>
      <c r="B126" s="19" t="s">
        <v>227</v>
      </c>
      <c r="C126" s="54" t="n">
        <v>0.005</v>
      </c>
      <c r="D126" s="21" t="s">
        <v>225</v>
      </c>
      <c r="E126" s="22" t="s">
        <v>33</v>
      </c>
      <c r="F126" s="21" t="s">
        <v>228</v>
      </c>
      <c r="G126" s="21"/>
      <c r="H126" s="21"/>
      <c r="I126" s="21"/>
      <c r="J126" s="21"/>
      <c r="K126" s="21"/>
      <c r="L126" s="21"/>
    </row>
    <row r="127" customFormat="false" ht="30" hidden="false" customHeight="true" outlineLevel="0" collapsed="false">
      <c r="A127" s="1"/>
      <c r="B127" s="19" t="s">
        <v>229</v>
      </c>
      <c r="C127" s="20" t="n">
        <v>20</v>
      </c>
      <c r="D127" s="21" t="s">
        <v>230</v>
      </c>
      <c r="E127" s="25" t="s">
        <v>40</v>
      </c>
      <c r="F127" s="21" t="s">
        <v>231</v>
      </c>
      <c r="G127" s="21"/>
      <c r="H127" s="21"/>
      <c r="I127" s="21"/>
      <c r="J127" s="21"/>
      <c r="K127" s="21"/>
      <c r="L127" s="21"/>
    </row>
    <row r="128" customFormat="false" ht="30" hidden="false" customHeight="true" outlineLevel="0" collapsed="false">
      <c r="A128" s="1"/>
      <c r="B128" s="19" t="s">
        <v>232</v>
      </c>
      <c r="C128" s="20" t="n">
        <v>10</v>
      </c>
      <c r="D128" s="21" t="s">
        <v>230</v>
      </c>
      <c r="E128" s="25" t="s">
        <v>40</v>
      </c>
      <c r="F128" s="21" t="s">
        <v>233</v>
      </c>
      <c r="G128" s="21"/>
      <c r="H128" s="21"/>
      <c r="I128" s="21"/>
      <c r="J128" s="21"/>
      <c r="K128" s="21"/>
      <c r="L128" s="21"/>
    </row>
    <row r="129" customFormat="false" ht="15" hidden="false" customHeight="false" outlineLevel="0" collapsed="false">
      <c r="A129" s="1"/>
      <c r="B129" s="1"/>
      <c r="C129" s="1"/>
      <c r="D129" s="1"/>
      <c r="E129" s="1"/>
      <c r="F129" s="1"/>
      <c r="G129" s="1"/>
      <c r="H129" s="1"/>
      <c r="I129" s="1"/>
      <c r="J129" s="1"/>
      <c r="K129" s="1"/>
      <c r="L129" s="1"/>
    </row>
    <row r="130" customFormat="false" ht="19.5" hidden="false" customHeight="true" outlineLevel="0" collapsed="false">
      <c r="A130" s="1"/>
      <c r="B130" s="14" t="s">
        <v>234</v>
      </c>
      <c r="C130" s="15"/>
      <c r="D130" s="15"/>
      <c r="E130" s="15"/>
      <c r="F130" s="15"/>
      <c r="G130" s="15"/>
      <c r="H130" s="15"/>
      <c r="I130" s="15"/>
      <c r="J130" s="15"/>
      <c r="K130" s="15"/>
      <c r="L130" s="15"/>
    </row>
    <row r="131" customFormat="false" ht="25.5" hidden="false" customHeight="true" outlineLevel="0" collapsed="false">
      <c r="A131" s="1"/>
      <c r="B131" s="16" t="s">
        <v>26</v>
      </c>
      <c r="C131" s="17" t="s">
        <v>27</v>
      </c>
      <c r="D131" s="17" t="s">
        <v>28</v>
      </c>
      <c r="E131" s="17" t="s">
        <v>29</v>
      </c>
      <c r="F131" s="18" t="s">
        <v>30</v>
      </c>
      <c r="G131" s="18"/>
      <c r="H131" s="18"/>
      <c r="I131" s="18"/>
      <c r="J131" s="18"/>
      <c r="K131" s="18"/>
      <c r="L131" s="18"/>
    </row>
    <row r="132" customFormat="false" ht="30" hidden="false" customHeight="true" outlineLevel="0" collapsed="false">
      <c r="A132" s="1"/>
      <c r="B132" s="19" t="s">
        <v>235</v>
      </c>
      <c r="C132" s="24" t="n">
        <v>0.15</v>
      </c>
      <c r="D132" s="21" t="s">
        <v>39</v>
      </c>
      <c r="E132" s="25" t="s">
        <v>40</v>
      </c>
      <c r="F132" s="21" t="s">
        <v>236</v>
      </c>
      <c r="G132" s="21"/>
      <c r="H132" s="21"/>
      <c r="I132" s="21"/>
      <c r="J132" s="21"/>
      <c r="K132" s="21"/>
      <c r="L132" s="21"/>
    </row>
    <row r="133" customFormat="false" ht="30" hidden="false" customHeight="true" outlineLevel="0" collapsed="false">
      <c r="A133" s="1"/>
      <c r="B133" s="19" t="s">
        <v>237</v>
      </c>
      <c r="C133" s="55" t="n">
        <v>42500</v>
      </c>
      <c r="D133" s="21" t="s">
        <v>147</v>
      </c>
      <c r="E133" s="25" t="s">
        <v>40</v>
      </c>
      <c r="F133" s="21" t="s">
        <v>238</v>
      </c>
      <c r="G133" s="21"/>
      <c r="H133" s="21"/>
      <c r="I133" s="21"/>
      <c r="J133" s="21"/>
      <c r="K133" s="21"/>
      <c r="L133" s="21"/>
    </row>
    <row r="134" customFormat="false" ht="18" hidden="false" customHeight="true" outlineLevel="0" collapsed="false">
      <c r="A134" s="1"/>
      <c r="B134" s="19" t="s">
        <v>239</v>
      </c>
      <c r="C134" s="24" t="n">
        <v>0.25</v>
      </c>
      <c r="D134" s="21" t="s">
        <v>39</v>
      </c>
      <c r="E134" s="25" t="s">
        <v>40</v>
      </c>
      <c r="F134" s="21" t="s">
        <v>238</v>
      </c>
      <c r="G134" s="21"/>
      <c r="H134" s="21"/>
      <c r="I134" s="21"/>
      <c r="J134" s="21"/>
      <c r="K134" s="21"/>
      <c r="L134" s="21"/>
    </row>
    <row r="135" customFormat="false" ht="30" hidden="false" customHeight="true" outlineLevel="0" collapsed="false">
      <c r="A135" s="1"/>
      <c r="B135" s="19" t="s">
        <v>240</v>
      </c>
      <c r="C135" s="24" t="n">
        <v>0.2</v>
      </c>
      <c r="D135" s="21" t="s">
        <v>39</v>
      </c>
      <c r="E135" s="22" t="s">
        <v>33</v>
      </c>
      <c r="F135" s="21" t="s">
        <v>241</v>
      </c>
      <c r="G135" s="21"/>
      <c r="H135" s="21"/>
      <c r="I135" s="21"/>
      <c r="J135" s="21"/>
      <c r="K135" s="21"/>
      <c r="L135" s="21"/>
    </row>
    <row r="136" customFormat="false" ht="30" hidden="false" customHeight="true" outlineLevel="0" collapsed="false">
      <c r="A136" s="1"/>
      <c r="B136" s="19" t="s">
        <v>242</v>
      </c>
      <c r="C136" s="20" t="n">
        <v>30</v>
      </c>
      <c r="D136" s="21" t="s">
        <v>230</v>
      </c>
      <c r="E136" s="22" t="s">
        <v>33</v>
      </c>
      <c r="F136" s="21" t="s">
        <v>243</v>
      </c>
      <c r="G136" s="21"/>
      <c r="H136" s="21"/>
      <c r="I136" s="21"/>
      <c r="J136" s="21"/>
      <c r="K136" s="21"/>
      <c r="L136" s="21"/>
    </row>
    <row r="137" customFormat="false" ht="30" hidden="false" customHeight="true" outlineLevel="0" collapsed="false">
      <c r="A137" s="1"/>
      <c r="B137" s="19" t="s">
        <v>244</v>
      </c>
      <c r="C137" s="20" t="n">
        <v>20</v>
      </c>
      <c r="D137" s="21" t="s">
        <v>230</v>
      </c>
      <c r="E137" s="22" t="s">
        <v>33</v>
      </c>
      <c r="F137" s="21" t="s">
        <v>119</v>
      </c>
      <c r="G137" s="21"/>
      <c r="H137" s="21"/>
      <c r="I137" s="21"/>
      <c r="J137" s="21"/>
      <c r="K137" s="21"/>
      <c r="L137" s="21"/>
    </row>
    <row r="138" customFormat="false" ht="30" hidden="false" customHeight="true" outlineLevel="0" collapsed="false">
      <c r="A138" s="1"/>
      <c r="B138" s="19" t="s">
        <v>245</v>
      </c>
      <c r="C138" s="20" t="n">
        <v>10</v>
      </c>
      <c r="D138" s="21" t="s">
        <v>230</v>
      </c>
      <c r="E138" s="22" t="s">
        <v>33</v>
      </c>
      <c r="F138" s="21" t="s">
        <v>119</v>
      </c>
      <c r="G138" s="21"/>
      <c r="H138" s="21"/>
      <c r="I138" s="21"/>
      <c r="J138" s="21"/>
      <c r="K138" s="21"/>
      <c r="L138" s="21"/>
    </row>
    <row r="139" customFormat="false" ht="30" hidden="false" customHeight="true" outlineLevel="0" collapsed="false">
      <c r="A139" s="1"/>
      <c r="B139" s="19" t="s">
        <v>246</v>
      </c>
      <c r="C139" s="27" t="n">
        <v>1.2</v>
      </c>
      <c r="D139" s="21" t="s">
        <v>247</v>
      </c>
      <c r="E139" s="22" t="s">
        <v>33</v>
      </c>
      <c r="F139" s="21" t="s">
        <v>248</v>
      </c>
      <c r="G139" s="21"/>
      <c r="H139" s="21"/>
      <c r="I139" s="21"/>
      <c r="J139" s="21"/>
      <c r="K139" s="21"/>
      <c r="L139" s="21"/>
    </row>
  </sheetData>
  <mergeCells count="99">
    <mergeCell ref="D5:L5"/>
    <mergeCell ref="F8:L8"/>
    <mergeCell ref="F9:L9"/>
    <mergeCell ref="F10:L10"/>
    <mergeCell ref="F11:L11"/>
    <mergeCell ref="F12:L12"/>
    <mergeCell ref="F13:L13"/>
    <mergeCell ref="F14:L14"/>
    <mergeCell ref="B17:L17"/>
    <mergeCell ref="F36:L36"/>
    <mergeCell ref="F37:L37"/>
    <mergeCell ref="F38:L38"/>
    <mergeCell ref="F39:L39"/>
    <mergeCell ref="F40:L40"/>
    <mergeCell ref="F41:L41"/>
    <mergeCell ref="F42:L42"/>
    <mergeCell ref="F43:L43"/>
    <mergeCell ref="F44:L44"/>
    <mergeCell ref="F45:L45"/>
    <mergeCell ref="F46:L46"/>
    <mergeCell ref="F47:L47"/>
    <mergeCell ref="F48:L48"/>
    <mergeCell ref="F49:L49"/>
    <mergeCell ref="F50:L50"/>
    <mergeCell ref="F51:L51"/>
    <mergeCell ref="F52:L52"/>
    <mergeCell ref="F53:L53"/>
    <mergeCell ref="F56:L56"/>
    <mergeCell ref="F57:L57"/>
    <mergeCell ref="F58:L58"/>
    <mergeCell ref="F59:L59"/>
    <mergeCell ref="F60:L60"/>
    <mergeCell ref="F61:L61"/>
    <mergeCell ref="F62:L62"/>
    <mergeCell ref="F65:L65"/>
    <mergeCell ref="F66:L66"/>
    <mergeCell ref="F67:L67"/>
    <mergeCell ref="F68:L68"/>
    <mergeCell ref="F69:L69"/>
    <mergeCell ref="F70:L70"/>
    <mergeCell ref="F71:L71"/>
    <mergeCell ref="F74:L74"/>
    <mergeCell ref="F75:L75"/>
    <mergeCell ref="F76:L76"/>
    <mergeCell ref="F77:L77"/>
    <mergeCell ref="F78:L78"/>
    <mergeCell ref="F79:L79"/>
    <mergeCell ref="F80:L80"/>
    <mergeCell ref="F81:L81"/>
    <mergeCell ref="F82:L82"/>
    <mergeCell ref="F83:L83"/>
    <mergeCell ref="F84:L84"/>
    <mergeCell ref="F85:L85"/>
    <mergeCell ref="F86:L86"/>
    <mergeCell ref="F89:L89"/>
    <mergeCell ref="F90:L90"/>
    <mergeCell ref="F91:L91"/>
    <mergeCell ref="F92:L92"/>
    <mergeCell ref="F93:L93"/>
    <mergeCell ref="F94:L94"/>
    <mergeCell ref="F95:L95"/>
    <mergeCell ref="F96:L96"/>
    <mergeCell ref="F97:L97"/>
    <mergeCell ref="F100:L100"/>
    <mergeCell ref="F101:L101"/>
    <mergeCell ref="F102:L102"/>
    <mergeCell ref="F103:L103"/>
    <mergeCell ref="F104:L104"/>
    <mergeCell ref="F105:L105"/>
    <mergeCell ref="F106:L106"/>
    <mergeCell ref="F107:L107"/>
    <mergeCell ref="F108:L108"/>
    <mergeCell ref="F109:L109"/>
    <mergeCell ref="F110:L110"/>
    <mergeCell ref="F111:L111"/>
    <mergeCell ref="F112:L112"/>
    <mergeCell ref="F113:L113"/>
    <mergeCell ref="F114:L114"/>
    <mergeCell ref="F115:L115"/>
    <mergeCell ref="F116:L116"/>
    <mergeCell ref="F117:L117"/>
    <mergeCell ref="F118:L118"/>
    <mergeCell ref="F121:L121"/>
    <mergeCell ref="F122:L122"/>
    <mergeCell ref="F123:L123"/>
    <mergeCell ref="F124:L124"/>
    <mergeCell ref="F125:L125"/>
    <mergeCell ref="F126:L126"/>
    <mergeCell ref="F127:L127"/>
    <mergeCell ref="F128:L128"/>
    <mergeCell ref="F131:L131"/>
    <mergeCell ref="F132:L132"/>
    <mergeCell ref="F133:L133"/>
    <mergeCell ref="F134:L134"/>
    <mergeCell ref="F135:L135"/>
    <mergeCell ref="F136:L136"/>
    <mergeCell ref="F137:L137"/>
    <mergeCell ref="F138:L138"/>
    <mergeCell ref="F139:L139"/>
  </mergeCells>
  <dataValidations count="1">
    <dataValidation allowBlank="false" errorStyle="stop" operator="between" showDropDown="false" showErrorMessage="false" showInputMessage="false" sqref="D19:D30" type="list">
      <formula1>"0,1"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6"/>
    <col collapsed="false" customWidth="true" hidden="false" outlineLevel="0" max="13" min="4" style="0" width="12.5"/>
  </cols>
  <sheetData>
    <row r="1" customFormat="false" ht="24" hidden="false" customHeight="true" outlineLevel="0" collapsed="false">
      <c r="A1" s="1"/>
      <c r="B1" s="8" t="s">
        <v>249</v>
      </c>
      <c r="C1" s="1"/>
      <c r="D1" s="1"/>
      <c r="E1" s="1"/>
      <c r="F1" s="1"/>
      <c r="G1" s="1"/>
      <c r="H1" s="1"/>
      <c r="I1" s="1"/>
      <c r="J1" s="1"/>
      <c r="K1" s="1"/>
      <c r="L1" s="1"/>
      <c r="M1" s="1"/>
    </row>
    <row r="2" customFormat="false" ht="15" hidden="false" customHeight="false" outlineLevel="0" collapsed="false">
      <c r="A2" s="1"/>
      <c r="B2" s="9" t="s">
        <v>250</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25.5" hidden="false" customHeight="true" outlineLevel="0" collapsed="false">
      <c r="A5" s="1"/>
      <c r="B5" s="16" t="s">
        <v>251</v>
      </c>
      <c r="C5" s="17" t="s">
        <v>252</v>
      </c>
      <c r="D5" s="17" t="s">
        <v>253</v>
      </c>
      <c r="E5" s="17" t="s">
        <v>254</v>
      </c>
      <c r="F5" s="17" t="s">
        <v>255</v>
      </c>
      <c r="G5" s="17" t="s">
        <v>256</v>
      </c>
      <c r="H5" s="17" t="s">
        <v>257</v>
      </c>
      <c r="I5" s="17" t="s">
        <v>258</v>
      </c>
      <c r="J5" s="17" t="s">
        <v>259</v>
      </c>
      <c r="K5" s="17" t="s">
        <v>260</v>
      </c>
      <c r="L5" s="17" t="s">
        <v>261</v>
      </c>
      <c r="M5" s="17" t="s">
        <v>262</v>
      </c>
    </row>
    <row r="6" customFormat="false" ht="15" hidden="false" customHeight="false" outlineLevel="0" collapsed="false">
      <c r="A6" s="1"/>
      <c r="B6" s="58" t="s">
        <v>263</v>
      </c>
      <c r="C6" s="59"/>
      <c r="D6" s="60" t="n">
        <v>1</v>
      </c>
      <c r="E6" s="60" t="n">
        <v>2</v>
      </c>
      <c r="F6" s="60" t="n">
        <v>3</v>
      </c>
      <c r="G6" s="60" t="n">
        <v>4</v>
      </c>
      <c r="H6" s="60" t="n">
        <v>5</v>
      </c>
      <c r="I6" s="60" t="n">
        <v>6</v>
      </c>
      <c r="J6" s="60" t="n">
        <v>7</v>
      </c>
      <c r="K6" s="60" t="n">
        <v>8</v>
      </c>
      <c r="L6" s="60" t="n">
        <v>9</v>
      </c>
      <c r="M6" s="60" t="n">
        <v>10</v>
      </c>
    </row>
    <row r="7" customFormat="false" ht="15" hidden="false" customHeight="false" outlineLevel="0" collapsed="false">
      <c r="A7" s="1"/>
      <c r="B7" s="1"/>
      <c r="C7" s="1"/>
      <c r="D7" s="1"/>
      <c r="E7" s="1"/>
      <c r="F7" s="1"/>
      <c r="G7" s="1"/>
      <c r="H7" s="1"/>
      <c r="I7" s="1"/>
      <c r="J7" s="1"/>
      <c r="K7" s="1"/>
      <c r="L7" s="1"/>
      <c r="M7" s="1"/>
    </row>
    <row r="8" customFormat="false" ht="19.5" hidden="false" customHeight="true" outlineLevel="0" collapsed="false">
      <c r="A8" s="1"/>
      <c r="B8" s="14" t="s">
        <v>264</v>
      </c>
      <c r="C8" s="15"/>
      <c r="D8" s="15"/>
      <c r="E8" s="15"/>
      <c r="F8" s="15"/>
      <c r="G8" s="15"/>
      <c r="H8" s="15"/>
      <c r="I8" s="15"/>
      <c r="J8" s="15"/>
      <c r="K8" s="15"/>
      <c r="L8" s="15"/>
      <c r="M8" s="15"/>
    </row>
    <row r="9" customFormat="false" ht="15" hidden="false" customHeight="false" outlineLevel="0" collapsed="false">
      <c r="A9" s="1"/>
      <c r="B9" s="61" t="s">
        <v>265</v>
      </c>
      <c r="C9" s="59"/>
      <c r="D9" s="62" t="n">
        <f aca="false">Hypothèses!$C$57</f>
        <v>0.92</v>
      </c>
      <c r="E9" s="62" t="n">
        <f aca="false">Hypothèses!$C$58</f>
        <v>0.97</v>
      </c>
      <c r="F9" s="62" t="n">
        <f aca="false">Hypothèses!$C$59</f>
        <v>1</v>
      </c>
      <c r="G9" s="62" t="n">
        <f aca="false">Hypothèses!$C$59</f>
        <v>1</v>
      </c>
      <c r="H9" s="62" t="n">
        <f aca="false">Hypothèses!$C$59</f>
        <v>1</v>
      </c>
      <c r="I9" s="62" t="n">
        <f aca="false">Hypothèses!$C$59</f>
        <v>1</v>
      </c>
      <c r="J9" s="62" t="n">
        <f aca="false">Hypothèses!$C$59</f>
        <v>1</v>
      </c>
      <c r="K9" s="62" t="n">
        <f aca="false">Hypothèses!$C$59</f>
        <v>1</v>
      </c>
      <c r="L9" s="62" t="n">
        <f aca="false">Hypothèses!$C$59</f>
        <v>1</v>
      </c>
      <c r="M9" s="62" t="n">
        <f aca="false">Hypothèses!$C$59</f>
        <v>1</v>
      </c>
    </row>
    <row r="10" customFormat="false" ht="25.5" hidden="false" customHeight="true" outlineLevel="0" collapsed="false">
      <c r="A10" s="1"/>
      <c r="B10" s="61" t="s">
        <v>266</v>
      </c>
      <c r="C10" s="59" t="s">
        <v>267</v>
      </c>
      <c r="D10" s="63" t="n">
        <v>1</v>
      </c>
      <c r="E10" s="63" t="n">
        <f aca="false">D10*(1+Hypothèses!$C$60)</f>
        <v>1.02</v>
      </c>
      <c r="F10" s="63" t="n">
        <f aca="false">E10*(1+Hypothèses!$C$60)</f>
        <v>1.0404</v>
      </c>
      <c r="G10" s="63" t="n">
        <f aca="false">F10*(1+Hypothèses!$C$60)</f>
        <v>1.061208</v>
      </c>
      <c r="H10" s="63" t="n">
        <f aca="false">G10*(1+Hypothèses!$C$60)</f>
        <v>1.08243216</v>
      </c>
      <c r="I10" s="63" t="n">
        <f aca="false">H10*(1+Hypothèses!$C$60)</f>
        <v>1.1040808032</v>
      </c>
      <c r="J10" s="63" t="n">
        <f aca="false">I10*(1+Hypothèses!$C$60)</f>
        <v>1.126162419264</v>
      </c>
      <c r="K10" s="63" t="n">
        <f aca="false">J10*(1+Hypothèses!$C$60)</f>
        <v>1.14868566764928</v>
      </c>
      <c r="L10" s="63" t="n">
        <f aca="false">K10*(1+Hypothèses!$C$60)</f>
        <v>1.17165938100227</v>
      </c>
      <c r="M10" s="63" t="n">
        <f aca="false">L10*(1+Hypothèses!$C$60)</f>
        <v>1.19509256862231</v>
      </c>
    </row>
    <row r="11" customFormat="false" ht="15" hidden="false" customHeight="false" outlineLevel="0" collapsed="false">
      <c r="A11" s="1"/>
      <c r="B11" s="61" t="s">
        <v>268</v>
      </c>
      <c r="C11" s="59"/>
      <c r="D11" s="63" t="n">
        <v>1</v>
      </c>
      <c r="E11" s="63" t="n">
        <f aca="false">D11*(1+Hypothèses!$C$61)</f>
        <v>1.02</v>
      </c>
      <c r="F11" s="63" t="n">
        <f aca="false">E11*(1+Hypothèses!$C$61)</f>
        <v>1.0404</v>
      </c>
      <c r="G11" s="63" t="n">
        <f aca="false">F11*(1+Hypothèses!$C$61)</f>
        <v>1.061208</v>
      </c>
      <c r="H11" s="63" t="n">
        <f aca="false">G11*(1+Hypothèses!$C$61)</f>
        <v>1.08243216</v>
      </c>
      <c r="I11" s="63" t="n">
        <f aca="false">H11*(1+Hypothèses!$C$61)</f>
        <v>1.1040808032</v>
      </c>
      <c r="J11" s="63" t="n">
        <f aca="false">I11*(1+Hypothèses!$C$61)</f>
        <v>1.126162419264</v>
      </c>
      <c r="K11" s="63" t="n">
        <f aca="false">J11*(1+Hypothèses!$C$61)</f>
        <v>1.14868566764928</v>
      </c>
      <c r="L11" s="63" t="n">
        <f aca="false">K11*(1+Hypothèses!$C$61)</f>
        <v>1.17165938100227</v>
      </c>
      <c r="M11" s="63" t="n">
        <f aca="false">L11*(1+Hypothèses!$C$61)</f>
        <v>1.19509256862231</v>
      </c>
    </row>
    <row r="12" customFormat="false" ht="15" hidden="false" customHeight="false" outlineLevel="0" collapsed="false">
      <c r="A12" s="1"/>
      <c r="B12" s="61" t="s">
        <v>269</v>
      </c>
      <c r="C12" s="59"/>
      <c r="D12" s="63" t="n">
        <v>1</v>
      </c>
      <c r="E12" s="63" t="n">
        <f aca="false">D12*(1+Hypothèses!$C$62)</f>
        <v>1.025</v>
      </c>
      <c r="F12" s="63" t="n">
        <f aca="false">E12*(1+Hypothèses!$C$62)</f>
        <v>1.050625</v>
      </c>
      <c r="G12" s="63" t="n">
        <f aca="false">F12*(1+Hypothèses!$C$62)</f>
        <v>1.076890625</v>
      </c>
      <c r="H12" s="63" t="n">
        <f aca="false">G12*(1+Hypothèses!$C$62)</f>
        <v>1.103812890625</v>
      </c>
      <c r="I12" s="63" t="n">
        <f aca="false">H12*(1+Hypothèses!$C$62)</f>
        <v>1.13140821289062</v>
      </c>
      <c r="J12" s="63" t="n">
        <f aca="false">I12*(1+Hypothèses!$C$62)</f>
        <v>1.15969341821289</v>
      </c>
      <c r="K12" s="63" t="n">
        <f aca="false">J12*(1+Hypothèses!$C$62)</f>
        <v>1.18868575366821</v>
      </c>
      <c r="L12" s="63" t="n">
        <f aca="false">K12*(1+Hypothèses!$C$62)</f>
        <v>1.21840289750992</v>
      </c>
      <c r="M12" s="63" t="n">
        <f aca="false">L12*(1+Hypothèses!$C$62)</f>
        <v>1.24886296994767</v>
      </c>
    </row>
    <row r="13" customFormat="false" ht="15" hidden="false" customHeight="false" outlineLevel="0" collapsed="false">
      <c r="A13" s="1"/>
      <c r="B13" s="61" t="s">
        <v>83</v>
      </c>
      <c r="C13" s="59"/>
      <c r="D13" s="64" t="n">
        <f aca="false">Hypothèses!$C$38*D9</f>
        <v>4623.44329297821</v>
      </c>
      <c r="E13" s="64" t="n">
        <f aca="false">Hypothèses!$C$38*E9</f>
        <v>4874.71738498789</v>
      </c>
      <c r="F13" s="64" t="n">
        <f aca="false">Hypothèses!$C$38*F9</f>
        <v>5025.48184019371</v>
      </c>
      <c r="G13" s="64" t="n">
        <f aca="false">Hypothèses!$C$38*G9</f>
        <v>5025.48184019371</v>
      </c>
      <c r="H13" s="64" t="n">
        <f aca="false">Hypothèses!$C$38*H9</f>
        <v>5025.48184019371</v>
      </c>
      <c r="I13" s="64" t="n">
        <f aca="false">Hypothèses!$C$38*I9</f>
        <v>5025.48184019371</v>
      </c>
      <c r="J13" s="64" t="n">
        <f aca="false">Hypothèses!$C$38*J9</f>
        <v>5025.48184019371</v>
      </c>
      <c r="K13" s="64" t="n">
        <f aca="false">Hypothèses!$C$38*K9</f>
        <v>5025.48184019371</v>
      </c>
      <c r="L13" s="64" t="n">
        <f aca="false">Hypothèses!$C$38*L9</f>
        <v>5025.48184019371</v>
      </c>
      <c r="M13" s="64" t="n">
        <f aca="false">Hypothèses!$C$38*M9</f>
        <v>5025.48184019371</v>
      </c>
    </row>
    <row r="14" customFormat="false" ht="15" hidden="false" customHeight="false" outlineLevel="0" collapsed="false">
      <c r="A14" s="1"/>
      <c r="B14" s="61" t="s">
        <v>270</v>
      </c>
      <c r="C14" s="59"/>
      <c r="D14" s="62" t="n">
        <f aca="false">D13/(Hypothèses!$C$9*365)</f>
        <v>0.506678717038708</v>
      </c>
      <c r="E14" s="62" t="n">
        <f aca="false">E13/(Hypothèses!$C$9*365)</f>
        <v>0.53421560383429</v>
      </c>
      <c r="F14" s="62" t="n">
        <f aca="false">F13/(Hypothèses!$C$9*365)</f>
        <v>0.550737735911639</v>
      </c>
      <c r="G14" s="62" t="n">
        <f aca="false">G13/(Hypothèses!$C$9*365)</f>
        <v>0.550737735911639</v>
      </c>
      <c r="H14" s="62" t="n">
        <f aca="false">H13/(Hypothèses!$C$9*365)</f>
        <v>0.550737735911639</v>
      </c>
      <c r="I14" s="62" t="n">
        <f aca="false">I13/(Hypothèses!$C$9*365)</f>
        <v>0.550737735911639</v>
      </c>
      <c r="J14" s="62" t="n">
        <f aca="false">J13/(Hypothèses!$C$9*365)</f>
        <v>0.550737735911639</v>
      </c>
      <c r="K14" s="62" t="n">
        <f aca="false">K13/(Hypothèses!$C$9*365)</f>
        <v>0.550737735911639</v>
      </c>
      <c r="L14" s="62" t="n">
        <f aca="false">L13/(Hypothèses!$C$9*365)</f>
        <v>0.550737735911639</v>
      </c>
      <c r="M14" s="62" t="n">
        <f aca="false">M13/(Hypothèses!$C$9*365)</f>
        <v>0.550737735911639</v>
      </c>
    </row>
    <row r="15" customFormat="false" ht="15" hidden="false" customHeight="false" outlineLevel="0" collapsed="false">
      <c r="A15" s="1"/>
      <c r="B15" s="61" t="s">
        <v>62</v>
      </c>
      <c r="C15" s="59"/>
      <c r="D15" s="65" t="n">
        <f aca="false">Hypothèses!$C$40*D10</f>
        <v>85</v>
      </c>
      <c r="E15" s="65" t="n">
        <f aca="false">Hypothèses!$C$40*E10</f>
        <v>86.7</v>
      </c>
      <c r="F15" s="65" t="n">
        <f aca="false">Hypothèses!$C$40*F10</f>
        <v>88.434</v>
      </c>
      <c r="G15" s="65" t="n">
        <f aca="false">Hypothèses!$C$40*G10</f>
        <v>90.20268</v>
      </c>
      <c r="H15" s="65" t="n">
        <f aca="false">Hypothèses!$C$40*H10</f>
        <v>92.0067336</v>
      </c>
      <c r="I15" s="65" t="n">
        <f aca="false">Hypothèses!$C$40*I10</f>
        <v>93.846868272</v>
      </c>
      <c r="J15" s="65" t="n">
        <f aca="false">Hypothèses!$C$40*J10</f>
        <v>95.72380563744</v>
      </c>
      <c r="K15" s="65" t="n">
        <f aca="false">Hypothèses!$C$40*K10</f>
        <v>97.6382817501888</v>
      </c>
      <c r="L15" s="65" t="n">
        <f aca="false">Hypothèses!$C$40*L10</f>
        <v>99.5910473851926</v>
      </c>
      <c r="M15" s="65" t="n">
        <f aca="false">Hypothèses!$C$40*M10</f>
        <v>101.582868332896</v>
      </c>
    </row>
    <row r="16" customFormat="false" ht="15" hidden="false" customHeight="false" outlineLevel="0" collapsed="false">
      <c r="A16" s="1"/>
      <c r="B16" s="61" t="s">
        <v>271</v>
      </c>
      <c r="C16" s="59"/>
      <c r="D16" s="65" t="n">
        <f aca="false">D13*D15/(Hypothèses!$C$9*365)</f>
        <v>43.0676909482902</v>
      </c>
      <c r="E16" s="65" t="n">
        <f aca="false">E13*E15/(Hypothèses!$C$9*365)</f>
        <v>46.3164928524329</v>
      </c>
      <c r="F16" s="65" t="n">
        <f aca="false">F13*F15/(Hypothèses!$C$9*365)</f>
        <v>48.7039409376099</v>
      </c>
      <c r="G16" s="65" t="n">
        <f aca="false">G13*G15/(Hypothèses!$C$9*365)</f>
        <v>49.6780197563621</v>
      </c>
      <c r="H16" s="65" t="n">
        <f aca="false">H13*H15/(Hypothèses!$C$9*365)</f>
        <v>50.6715801514893</v>
      </c>
      <c r="I16" s="65" t="n">
        <f aca="false">I13*I15/(Hypothèses!$C$9*365)</f>
        <v>51.6850117545191</v>
      </c>
      <c r="J16" s="65" t="n">
        <f aca="false">J13*J15/(Hypothèses!$C$9*365)</f>
        <v>52.7187119896095</v>
      </c>
      <c r="K16" s="65" t="n">
        <f aca="false">K13*K15/(Hypothèses!$C$9*365)</f>
        <v>53.7730862294017</v>
      </c>
      <c r="L16" s="65" t="n">
        <f aca="false">L13*L15/(Hypothèses!$C$9*365)</f>
        <v>54.8485479539897</v>
      </c>
      <c r="M16" s="65" t="n">
        <f aca="false">M13*M15/(Hypothèses!$C$9*365)</f>
        <v>55.9455189130695</v>
      </c>
    </row>
    <row r="17" customFormat="false" ht="15" hidden="false" customHeight="false" outlineLevel="0" collapsed="false">
      <c r="A17" s="1"/>
      <c r="B17" s="1"/>
      <c r="C17" s="1"/>
      <c r="D17" s="1"/>
      <c r="E17" s="1"/>
      <c r="F17" s="1"/>
      <c r="G17" s="1"/>
      <c r="H17" s="1"/>
      <c r="I17" s="1"/>
      <c r="J17" s="1"/>
      <c r="K17" s="1"/>
      <c r="L17" s="1"/>
      <c r="M17" s="1"/>
    </row>
    <row r="18" customFormat="false" ht="19.5" hidden="false" customHeight="true" outlineLevel="0" collapsed="false">
      <c r="A18" s="1"/>
      <c r="B18" s="14" t="s">
        <v>272</v>
      </c>
      <c r="C18" s="15"/>
      <c r="D18" s="15"/>
      <c r="E18" s="15"/>
      <c r="F18" s="15"/>
      <c r="G18" s="15"/>
      <c r="H18" s="15"/>
      <c r="I18" s="15"/>
      <c r="J18" s="15"/>
      <c r="K18" s="15"/>
      <c r="L18" s="15"/>
      <c r="M18" s="15"/>
    </row>
    <row r="19" customFormat="false" ht="15" hidden="false" customHeight="false" outlineLevel="0" collapsed="false">
      <c r="A19" s="1"/>
      <c r="B19" s="61" t="s">
        <v>273</v>
      </c>
      <c r="C19" s="59"/>
      <c r="D19" s="66" t="n">
        <f aca="false">D13*D15</f>
        <v>392992.679903148</v>
      </c>
      <c r="E19" s="66" t="n">
        <f aca="false">E13*E15</f>
        <v>422637.99727845</v>
      </c>
      <c r="F19" s="66" t="n">
        <f aca="false">F13*F15</f>
        <v>444423.46105569</v>
      </c>
      <c r="G19" s="66" t="n">
        <f aca="false">G13*G15</f>
        <v>453311.930276804</v>
      </c>
      <c r="H19" s="66" t="n">
        <f aca="false">H13*H15</f>
        <v>462378.16888234</v>
      </c>
      <c r="I19" s="66" t="n">
        <f aca="false">I13*I15</f>
        <v>471625.732259987</v>
      </c>
      <c r="J19" s="66" t="n">
        <f aca="false">J13*J15</f>
        <v>481058.246905187</v>
      </c>
      <c r="K19" s="66" t="n">
        <f aca="false">K13*K15</f>
        <v>490679.41184329</v>
      </c>
      <c r="L19" s="66" t="n">
        <f aca="false">L13*L15</f>
        <v>500493.000080156</v>
      </c>
      <c r="M19" s="66" t="n">
        <f aca="false">M13*M15</f>
        <v>510502.860081759</v>
      </c>
    </row>
    <row r="20" customFormat="false" ht="15" hidden="false" customHeight="false" outlineLevel="0" collapsed="false">
      <c r="A20" s="1"/>
      <c r="B20" s="61" t="s">
        <v>274</v>
      </c>
      <c r="C20" s="59"/>
      <c r="D20" s="66" t="n">
        <f aca="false">D13*Hypothèses!$C$10*Hypothèses!$C$43*Hypothèses!$C$44*D10</f>
        <v>48823.5611738499</v>
      </c>
      <c r="E20" s="66" t="n">
        <f aca="false">E13*Hypothèses!$C$10*Hypothèses!$C$43*Hypothèses!$C$44*E10</f>
        <v>52506.5558971816</v>
      </c>
      <c r="F20" s="66" t="n">
        <f aca="false">F13*Hypothèses!$C$10*Hypothèses!$C$43*Hypothèses!$C$44*F10</f>
        <v>55213.0793970363</v>
      </c>
      <c r="G20" s="66" t="n">
        <f aca="false">G13*Hypothèses!$C$10*Hypothèses!$C$43*Hypothèses!$C$44*G10</f>
        <v>56317.3409849771</v>
      </c>
      <c r="H20" s="66" t="n">
        <f aca="false">H13*Hypothèses!$C$10*Hypothèses!$C$43*Hypothèses!$C$44*H10</f>
        <v>57443.6878046766</v>
      </c>
      <c r="I20" s="66" t="n">
        <f aca="false">I13*Hypothèses!$C$10*Hypothèses!$C$43*Hypothèses!$C$44*I10</f>
        <v>58592.5615607701</v>
      </c>
      <c r="J20" s="66" t="n">
        <f aca="false">J13*Hypothèses!$C$10*Hypothèses!$C$43*Hypothèses!$C$44*J10</f>
        <v>59764.4127919855</v>
      </c>
      <c r="K20" s="66" t="n">
        <f aca="false">K13*Hypothèses!$C$10*Hypothèses!$C$43*Hypothèses!$C$44*K10</f>
        <v>60959.7010478253</v>
      </c>
      <c r="L20" s="66" t="n">
        <f aca="false">L13*Hypothèses!$C$10*Hypothèses!$C$43*Hypothèses!$C$44*L10</f>
        <v>62178.8950687818</v>
      </c>
      <c r="M20" s="66" t="n">
        <f aca="false">M13*Hypothèses!$C$10*Hypothèses!$C$43*Hypothèses!$C$44*M10</f>
        <v>63422.4729701574</v>
      </c>
    </row>
    <row r="21" customFormat="false" ht="15" hidden="false" customHeight="false" outlineLevel="0" collapsed="false">
      <c r="A21" s="1"/>
      <c r="B21" s="61" t="s">
        <v>275</v>
      </c>
      <c r="C21" s="59"/>
      <c r="D21" s="66" t="n">
        <f aca="false">Hypothèses!$C$49*D9*D10</f>
        <v>331200</v>
      </c>
      <c r="E21" s="66" t="n">
        <f aca="false">Hypothèses!$C$49*E9*E10</f>
        <v>356184</v>
      </c>
      <c r="F21" s="66" t="n">
        <f aca="false">Hypothèses!$C$49*F9*F10</f>
        <v>374544</v>
      </c>
      <c r="G21" s="66" t="n">
        <f aca="false">Hypothèses!$C$49*G9*G10</f>
        <v>382034.88</v>
      </c>
      <c r="H21" s="66" t="n">
        <f aca="false">Hypothèses!$C$49*H9*H10</f>
        <v>389675.5776</v>
      </c>
      <c r="I21" s="66" t="n">
        <f aca="false">Hypothèses!$C$49*I9*I10</f>
        <v>397469.089152</v>
      </c>
      <c r="J21" s="66" t="n">
        <f aca="false">Hypothèses!$C$49*J9*J10</f>
        <v>405418.47093504</v>
      </c>
      <c r="K21" s="66" t="n">
        <f aca="false">Hypothèses!$C$49*K9*K10</f>
        <v>413526.840353741</v>
      </c>
      <c r="L21" s="66" t="n">
        <f aca="false">Hypothèses!$C$49*L9*L10</f>
        <v>421797.377160816</v>
      </c>
      <c r="M21" s="66" t="n">
        <f aca="false">Hypothèses!$C$49*M9*M10</f>
        <v>430233.324704032</v>
      </c>
    </row>
    <row r="22" customFormat="false" ht="15" hidden="false" customHeight="false" outlineLevel="0" collapsed="false">
      <c r="A22" s="1"/>
      <c r="B22" s="61" t="s">
        <v>276</v>
      </c>
      <c r="C22" s="59"/>
      <c r="D22" s="66" t="n">
        <f aca="false">D19*Hypothèses!$C$50</f>
        <v>7859.85359806296</v>
      </c>
      <c r="E22" s="66" t="n">
        <f aca="false">E19*Hypothèses!$C$50</f>
        <v>8452.75994556901</v>
      </c>
      <c r="F22" s="66" t="n">
        <f aca="false">F19*Hypothèses!$C$50</f>
        <v>8888.4692211138</v>
      </c>
      <c r="G22" s="66" t="n">
        <f aca="false">G19*Hypothèses!$C$50</f>
        <v>9066.23860553608</v>
      </c>
      <c r="H22" s="66" t="n">
        <f aca="false">H19*Hypothèses!$C$50</f>
        <v>9247.5633776468</v>
      </c>
      <c r="I22" s="66" t="n">
        <f aca="false">I19*Hypothèses!$C$50</f>
        <v>9432.51464519974</v>
      </c>
      <c r="J22" s="66" t="n">
        <f aca="false">J19*Hypothèses!$C$50</f>
        <v>9621.16493810373</v>
      </c>
      <c r="K22" s="66" t="n">
        <f aca="false">K19*Hypothèses!$C$50</f>
        <v>9813.58823686581</v>
      </c>
      <c r="L22" s="66" t="n">
        <f aca="false">L19*Hypothèses!$C$50</f>
        <v>10009.8600016031</v>
      </c>
      <c r="M22" s="66" t="n">
        <f aca="false">M19*Hypothèses!$C$50</f>
        <v>10210.0572016352</v>
      </c>
    </row>
    <row r="23" customFormat="false" ht="15" hidden="false" customHeight="false" outlineLevel="0" collapsed="false">
      <c r="A23" s="1"/>
      <c r="B23" s="67" t="s">
        <v>277</v>
      </c>
      <c r="C23" s="68"/>
      <c r="D23" s="69" t="n">
        <f aca="false">D19+D20+D21+D22</f>
        <v>780876.094675061</v>
      </c>
      <c r="E23" s="69" t="n">
        <f aca="false">E19+E20+E21+E22</f>
        <v>839781.313121201</v>
      </c>
      <c r="F23" s="69" t="n">
        <f aca="false">F19+F20+F21+F22</f>
        <v>883069.00967384</v>
      </c>
      <c r="G23" s="69" t="n">
        <f aca="false">G19+G20+G21+G22</f>
        <v>900730.389867317</v>
      </c>
      <c r="H23" s="69" t="n">
        <f aca="false">H19+H20+H21+H22</f>
        <v>918744.997664663</v>
      </c>
      <c r="I23" s="69" t="n">
        <f aca="false">I19+I20+I21+I22</f>
        <v>937119.897617957</v>
      </c>
      <c r="J23" s="69" t="n">
        <f aca="false">J19+J20+J21+J22</f>
        <v>955862.295570316</v>
      </c>
      <c r="K23" s="69" t="n">
        <f aca="false">K19+K20+K21+K22</f>
        <v>974979.541481722</v>
      </c>
      <c r="L23" s="69" t="n">
        <f aca="false">L19+L20+L21+L22</f>
        <v>994479.132311357</v>
      </c>
      <c r="M23" s="69" t="n">
        <f aca="false">M19+M20+M21+M22</f>
        <v>1014368.71495758</v>
      </c>
    </row>
    <row r="24" customFormat="false" ht="15" hidden="false" customHeight="false" outlineLevel="0" collapsed="false">
      <c r="A24" s="1"/>
      <c r="B24" s="1"/>
      <c r="C24" s="1"/>
      <c r="D24" s="1"/>
      <c r="E24" s="1"/>
      <c r="F24" s="1"/>
      <c r="G24" s="1"/>
      <c r="H24" s="1"/>
      <c r="I24" s="1"/>
      <c r="J24" s="1"/>
      <c r="K24" s="1"/>
      <c r="L24" s="1"/>
      <c r="M24" s="1"/>
    </row>
    <row r="25" customFormat="false" ht="19.5" hidden="false" customHeight="true" outlineLevel="0" collapsed="false">
      <c r="A25" s="1"/>
      <c r="B25" s="14" t="s">
        <v>278</v>
      </c>
      <c r="C25" s="15"/>
      <c r="D25" s="15"/>
      <c r="E25" s="15"/>
      <c r="F25" s="15"/>
      <c r="G25" s="15"/>
      <c r="H25" s="15"/>
      <c r="I25" s="15"/>
      <c r="J25" s="15"/>
      <c r="K25" s="15"/>
      <c r="L25" s="15"/>
      <c r="M25" s="15"/>
    </row>
    <row r="26" customFormat="false" ht="15" hidden="false" customHeight="false" outlineLevel="0" collapsed="false">
      <c r="A26" s="1"/>
      <c r="B26" s="61" t="s">
        <v>279</v>
      </c>
      <c r="C26" s="59"/>
      <c r="D26" s="66" t="n">
        <f aca="false">(D20+D21)*Hypothèses!$C$66</f>
        <v>117807.303963893</v>
      </c>
      <c r="E26" s="66" t="n">
        <f aca="false">(E20+E21)*Hypothèses!$C$66</f>
        <v>126694.072328126</v>
      </c>
      <c r="F26" s="66" t="n">
        <f aca="false">(F20+F21)*Hypothèses!$C$66</f>
        <v>133224.694613081</v>
      </c>
      <c r="G26" s="66" t="n">
        <f aca="false">(G20+G21)*Hypothèses!$C$66</f>
        <v>135889.188505343</v>
      </c>
      <c r="H26" s="66" t="n">
        <f aca="false">(H20+H21)*Hypothèses!$C$66</f>
        <v>138606.97227545</v>
      </c>
      <c r="I26" s="66" t="n">
        <f aca="false">(I20+I21)*Hypothèses!$C$66</f>
        <v>141379.111720959</v>
      </c>
      <c r="J26" s="66" t="n">
        <f aca="false">(J20+J21)*Hypothèses!$C$66</f>
        <v>144206.693955378</v>
      </c>
      <c r="K26" s="66" t="n">
        <f aca="false">(K20+K21)*Hypothèses!$C$66</f>
        <v>147090.827834485</v>
      </c>
      <c r="L26" s="66" t="n">
        <f aca="false">(L20+L21)*Hypothèses!$C$66</f>
        <v>150032.644391175</v>
      </c>
      <c r="M26" s="66" t="n">
        <f aca="false">(M20+M21)*Hypothèses!$C$66</f>
        <v>153033.297278999</v>
      </c>
    </row>
    <row r="27" customFormat="false" ht="15" hidden="false" customHeight="false" outlineLevel="0" collapsed="false">
      <c r="A27" s="1"/>
      <c r="B27" s="61" t="s">
        <v>280</v>
      </c>
      <c r="C27" s="59"/>
      <c r="D27" s="66" t="n">
        <f aca="false">D19*Hypothèses!$C$67*Hypothèses!$C$68</f>
        <v>20042.6266750605</v>
      </c>
      <c r="E27" s="66" t="n">
        <f aca="false">E19*Hypothèses!$C$67*Hypothèses!$C$68</f>
        <v>21554.537861201</v>
      </c>
      <c r="F27" s="66" t="n">
        <f aca="false">F19*Hypothèses!$C$67*Hypothèses!$C$68</f>
        <v>22665.5965138402</v>
      </c>
      <c r="G27" s="66" t="n">
        <f aca="false">G19*Hypothèses!$C$67*Hypothèses!$C$68</f>
        <v>23118.908444117</v>
      </c>
      <c r="H27" s="66" t="n">
        <f aca="false">H19*Hypothèses!$C$67*Hypothèses!$C$68</f>
        <v>23581.2866129993</v>
      </c>
      <c r="I27" s="66" t="n">
        <f aca="false">I19*Hypothèses!$C$67*Hypothèses!$C$68</f>
        <v>24052.9123452593</v>
      </c>
      <c r="J27" s="66" t="n">
        <f aca="false">J19*Hypothèses!$C$67*Hypothèses!$C$68</f>
        <v>24533.9705921645</v>
      </c>
      <c r="K27" s="66" t="n">
        <f aca="false">K19*Hypothèses!$C$67*Hypothèses!$C$68</f>
        <v>25024.6500040078</v>
      </c>
      <c r="L27" s="66" t="n">
        <f aca="false">L19*Hypothèses!$C$67*Hypothèses!$C$68</f>
        <v>25525.143004088</v>
      </c>
      <c r="M27" s="66" t="n">
        <f aca="false">M19*Hypothèses!$C$67*Hypothèses!$C$68</f>
        <v>26035.6458641697</v>
      </c>
    </row>
    <row r="28" customFormat="false" ht="15" hidden="false" customHeight="false" outlineLevel="0" collapsed="false">
      <c r="A28" s="1"/>
      <c r="B28" s="61" t="s">
        <v>281</v>
      </c>
      <c r="C28" s="59"/>
      <c r="D28" s="66" t="n">
        <f aca="false">D23*Hypothèses!$C$69</f>
        <v>7808.76094675061</v>
      </c>
      <c r="E28" s="66" t="n">
        <f aca="false">E23*Hypothèses!$C$69</f>
        <v>8397.81313121201</v>
      </c>
      <c r="F28" s="66" t="n">
        <f aca="false">F23*Hypothèses!$C$69</f>
        <v>8830.6900967384</v>
      </c>
      <c r="G28" s="66" t="n">
        <f aca="false">G23*Hypothèses!$C$69</f>
        <v>9007.30389867317</v>
      </c>
      <c r="H28" s="66" t="n">
        <f aca="false">H23*Hypothèses!$C$69</f>
        <v>9187.44997664663</v>
      </c>
      <c r="I28" s="66" t="n">
        <f aca="false">I23*Hypothèses!$C$69</f>
        <v>9371.19897617957</v>
      </c>
      <c r="J28" s="66" t="n">
        <f aca="false">J23*Hypothèses!$C$69</f>
        <v>9558.62295570316</v>
      </c>
      <c r="K28" s="66" t="n">
        <f aca="false">K23*Hypothèses!$C$69</f>
        <v>9749.79541481722</v>
      </c>
      <c r="L28" s="66" t="n">
        <f aca="false">L23*Hypothèses!$C$69</f>
        <v>9944.79132311357</v>
      </c>
      <c r="M28" s="66" t="n">
        <f aca="false">M23*Hypothèses!$C$69</f>
        <v>10143.6871495758</v>
      </c>
    </row>
    <row r="29" customFormat="false" ht="15" hidden="false" customHeight="false" outlineLevel="0" collapsed="false">
      <c r="A29" s="1"/>
      <c r="B29" s="61" t="s">
        <v>282</v>
      </c>
      <c r="C29" s="59"/>
      <c r="D29" s="66" t="n">
        <f aca="false">D19*Hypothèses!$C$70</f>
        <v>11789.7803970944</v>
      </c>
      <c r="E29" s="66" t="n">
        <f aca="false">E19*Hypothèses!$C$70</f>
        <v>12679.1399183535</v>
      </c>
      <c r="F29" s="66" t="n">
        <f aca="false">F19*Hypothèses!$C$70</f>
        <v>13332.7038316707</v>
      </c>
      <c r="G29" s="66" t="n">
        <f aca="false">G19*Hypothèses!$C$70</f>
        <v>13599.3579083041</v>
      </c>
      <c r="H29" s="66" t="n">
        <f aca="false">H19*Hypothèses!$C$70</f>
        <v>13871.3450664702</v>
      </c>
      <c r="I29" s="66" t="n">
        <f aca="false">I19*Hypothèses!$C$70</f>
        <v>14148.7719677996</v>
      </c>
      <c r="J29" s="66" t="n">
        <f aca="false">J19*Hypothèses!$C$70</f>
        <v>14431.7474071556</v>
      </c>
      <c r="K29" s="66" t="n">
        <f aca="false">K19*Hypothèses!$C$70</f>
        <v>14720.3823552987</v>
      </c>
      <c r="L29" s="66" t="n">
        <f aca="false">L19*Hypothèses!$C$70</f>
        <v>15014.7900024047</v>
      </c>
      <c r="M29" s="66" t="n">
        <f aca="false">M19*Hypothèses!$C$70</f>
        <v>15315.0858024528</v>
      </c>
    </row>
    <row r="30" customFormat="false" ht="15" hidden="false" customHeight="false" outlineLevel="0" collapsed="false">
      <c r="A30" s="1"/>
      <c r="B30" s="61" t="s">
        <v>283</v>
      </c>
      <c r="C30" s="59"/>
      <c r="D30" s="66" t="n">
        <f aca="false">D19*Hypothèses!$C$71</f>
        <v>5894.89019854722</v>
      </c>
      <c r="E30" s="66" t="n">
        <f aca="false">E19*Hypothèses!$C$71</f>
        <v>6339.56995917676</v>
      </c>
      <c r="F30" s="66" t="n">
        <f aca="false">F19*Hypothèses!$C$71</f>
        <v>6666.35191583535</v>
      </c>
      <c r="G30" s="66" t="n">
        <f aca="false">G19*Hypothèses!$C$71</f>
        <v>6799.67895415206</v>
      </c>
      <c r="H30" s="66" t="n">
        <f aca="false">H19*Hypothèses!$C$71</f>
        <v>6935.6725332351</v>
      </c>
      <c r="I30" s="66" t="n">
        <f aca="false">I19*Hypothèses!$C$71</f>
        <v>7074.3859838998</v>
      </c>
      <c r="J30" s="66" t="n">
        <f aca="false">J19*Hypothèses!$C$71</f>
        <v>7215.8737035778</v>
      </c>
      <c r="K30" s="66" t="n">
        <f aca="false">K19*Hypothèses!$C$71</f>
        <v>7360.19117764935</v>
      </c>
      <c r="L30" s="66" t="n">
        <f aca="false">L19*Hypothèses!$C$71</f>
        <v>7507.39500120234</v>
      </c>
      <c r="M30" s="66" t="n">
        <f aca="false">M19*Hypothèses!$C$71</f>
        <v>7657.54290122639</v>
      </c>
    </row>
    <row r="31" customFormat="false" ht="15" hidden="false" customHeight="false" outlineLevel="0" collapsed="false">
      <c r="A31" s="1"/>
      <c r="B31" s="67" t="s">
        <v>284</v>
      </c>
      <c r="C31" s="68"/>
      <c r="D31" s="69" t="n">
        <f aca="false">D26+D27+D28+D29+D30</f>
        <v>163343.362181346</v>
      </c>
      <c r="E31" s="69" t="n">
        <f aca="false">E26+E27+E28+E29+E30</f>
        <v>175665.13319807</v>
      </c>
      <c r="F31" s="69" t="n">
        <f aca="false">F26+F27+F28+F29+F30</f>
        <v>184720.036971166</v>
      </c>
      <c r="G31" s="69" t="n">
        <f aca="false">G26+G27+G28+G29+G30</f>
        <v>188414.437710589</v>
      </c>
      <c r="H31" s="69" t="n">
        <f aca="false">H26+H27+H28+H29+H30</f>
        <v>192182.726464801</v>
      </c>
      <c r="I31" s="69" t="n">
        <f aca="false">I26+I27+I28+I29+I30</f>
        <v>196026.380994097</v>
      </c>
      <c r="J31" s="69" t="n">
        <f aca="false">J26+J27+J28+J29+J30</f>
        <v>199946.908613979</v>
      </c>
      <c r="K31" s="69" t="n">
        <f aca="false">K26+K27+K28+K29+K30</f>
        <v>203945.846786259</v>
      </c>
      <c r="L31" s="69" t="n">
        <f aca="false">L26+L27+L28+L29+L30</f>
        <v>208024.763721984</v>
      </c>
      <c r="M31" s="69" t="n">
        <f aca="false">M26+M27+M28+M29+M30</f>
        <v>212185.258996423</v>
      </c>
    </row>
    <row r="32" customFormat="false" ht="15" hidden="false" customHeight="false" outlineLevel="0" collapsed="false">
      <c r="A32" s="1"/>
      <c r="B32" s="1"/>
      <c r="C32" s="1"/>
      <c r="D32" s="1"/>
      <c r="E32" s="1"/>
      <c r="F32" s="1"/>
      <c r="G32" s="1"/>
      <c r="H32" s="1"/>
      <c r="I32" s="1"/>
      <c r="J32" s="1"/>
      <c r="K32" s="1"/>
      <c r="L32" s="1"/>
      <c r="M32" s="1"/>
    </row>
    <row r="33" customFormat="false" ht="19.5" hidden="false" customHeight="true" outlineLevel="0" collapsed="false">
      <c r="A33" s="1"/>
      <c r="B33" s="14" t="s">
        <v>285</v>
      </c>
      <c r="C33" s="15"/>
      <c r="D33" s="15"/>
      <c r="E33" s="15"/>
      <c r="F33" s="15"/>
      <c r="G33" s="15"/>
      <c r="H33" s="15"/>
      <c r="I33" s="15"/>
      <c r="J33" s="15"/>
      <c r="K33" s="15"/>
      <c r="L33" s="15"/>
      <c r="M33" s="15"/>
    </row>
    <row r="34" customFormat="false" ht="15" hidden="false" customHeight="false" outlineLevel="0" collapsed="false">
      <c r="A34" s="1"/>
      <c r="B34" s="61" t="s">
        <v>286</v>
      </c>
      <c r="C34" s="59"/>
      <c r="D34" s="66" t="n">
        <f aca="false">(Hypothèses!$C$75*(Hypothèses!$C$52-Hypothèses!$C$49)+Hypothèses!$C$76*Hypothèses!$C$49)*D12</f>
        <v>281021.509133172</v>
      </c>
      <c r="E34" s="66" t="n">
        <f aca="false">(Hypothèses!$C$75*(Hypothèses!$C$52-Hypothèses!$C$49)+Hypothèses!$C$76*Hypothèses!$C$49)*E12</f>
        <v>288047.046861501</v>
      </c>
      <c r="F34" s="66" t="n">
        <f aca="false">(Hypothèses!$C$75*(Hypothèses!$C$52-Hypothèses!$C$49)+Hypothèses!$C$76*Hypothèses!$C$49)*F12</f>
        <v>295248.223033039</v>
      </c>
      <c r="G34" s="66" t="n">
        <f aca="false">(Hypothèses!$C$75*(Hypothèses!$C$52-Hypothèses!$C$49)+Hypothèses!$C$76*Hypothèses!$C$49)*G12</f>
        <v>302629.428608865</v>
      </c>
      <c r="H34" s="66" t="n">
        <f aca="false">(Hypothèses!$C$75*(Hypothèses!$C$52-Hypothèses!$C$49)+Hypothèses!$C$76*Hypothèses!$C$49)*H12</f>
        <v>310195.164324086</v>
      </c>
      <c r="I34" s="66" t="n">
        <f aca="false">(Hypothèses!$C$75*(Hypothèses!$C$52-Hypothèses!$C$49)+Hypothèses!$C$76*Hypothèses!$C$49)*I12</f>
        <v>317950.043432188</v>
      </c>
      <c r="J34" s="66" t="n">
        <f aca="false">(Hypothèses!$C$75*(Hypothèses!$C$52-Hypothèses!$C$49)+Hypothèses!$C$76*Hypothèses!$C$49)*J12</f>
        <v>325898.794517993</v>
      </c>
      <c r="K34" s="66" t="n">
        <f aca="false">(Hypothèses!$C$75*(Hypothèses!$C$52-Hypothèses!$C$49)+Hypothèses!$C$76*Hypothèses!$C$49)*K12</f>
        <v>334046.264380943</v>
      </c>
      <c r="L34" s="66" t="n">
        <f aca="false">(Hypothèses!$C$75*(Hypothèses!$C$52-Hypothèses!$C$49)+Hypothèses!$C$76*Hypothèses!$C$49)*L12</f>
        <v>342397.420990466</v>
      </c>
      <c r="M34" s="66" t="n">
        <f aca="false">(Hypothèses!$C$75*(Hypothèses!$C$52-Hypothèses!$C$49)+Hypothèses!$C$76*Hypothèses!$C$49)*M12</f>
        <v>350957.356515228</v>
      </c>
    </row>
    <row r="35" customFormat="false" ht="25.5" hidden="false" customHeight="true" outlineLevel="0" collapsed="false">
      <c r="A35" s="1"/>
      <c r="B35" s="58" t="s">
        <v>287</v>
      </c>
      <c r="C35" s="59" t="s">
        <v>288</v>
      </c>
      <c r="D35" s="70" t="n">
        <f aca="false">D34/(Hypothèses!$C$77*D12)</f>
        <v>7.11446858564992</v>
      </c>
      <c r="E35" s="70" t="n">
        <f aca="false">E34/(Hypothèses!$C$77*E12)</f>
        <v>7.11446858564992</v>
      </c>
      <c r="F35" s="70" t="n">
        <f aca="false">F34/(Hypothèses!$C$77*F12)</f>
        <v>7.11446858564992</v>
      </c>
      <c r="G35" s="70" t="n">
        <f aca="false">G34/(Hypothèses!$C$77*G12)</f>
        <v>7.11446858564992</v>
      </c>
      <c r="H35" s="70" t="n">
        <f aca="false">H34/(Hypothèses!$C$77*H12)</f>
        <v>7.11446858564992</v>
      </c>
      <c r="I35" s="70" t="n">
        <f aca="false">I34/(Hypothèses!$C$77*I12)</f>
        <v>7.11446858564992</v>
      </c>
      <c r="J35" s="70" t="n">
        <f aca="false">J34/(Hypothèses!$C$77*J12)</f>
        <v>7.11446858564992</v>
      </c>
      <c r="K35" s="70" t="n">
        <f aca="false">K34/(Hypothèses!$C$77*K12)</f>
        <v>7.11446858564992</v>
      </c>
      <c r="L35" s="70" t="n">
        <f aca="false">L34/(Hypothèses!$C$77*L12)</f>
        <v>7.11446858564992</v>
      </c>
      <c r="M35" s="70" t="n">
        <f aca="false">M34/(Hypothèses!$C$77*M12)</f>
        <v>7.11446858564992</v>
      </c>
    </row>
    <row r="36" customFormat="false" ht="15" hidden="false" customHeight="false" outlineLevel="0" collapsed="false">
      <c r="A36" s="1"/>
      <c r="B36" s="61" t="s">
        <v>289</v>
      </c>
      <c r="C36" s="59"/>
      <c r="D36" s="66" t="n">
        <f aca="false">Hypothèses!$C$78*Hypothèses!$C$52*D11</f>
        <v>32253.5778235351</v>
      </c>
      <c r="E36" s="66" t="n">
        <f aca="false">Hypothèses!$C$78*Hypothèses!$C$52*E11</f>
        <v>32898.6493800058</v>
      </c>
      <c r="F36" s="66" t="n">
        <f aca="false">Hypothèses!$C$78*Hypothèses!$C$52*F11</f>
        <v>33556.6223676059</v>
      </c>
      <c r="G36" s="66" t="n">
        <f aca="false">Hypothèses!$C$78*Hypothèses!$C$52*G11</f>
        <v>34227.754814958</v>
      </c>
      <c r="H36" s="66" t="n">
        <f aca="false">Hypothèses!$C$78*Hypothèses!$C$52*H11</f>
        <v>34912.3099112572</v>
      </c>
      <c r="I36" s="66" t="n">
        <f aca="false">Hypothèses!$C$78*Hypothèses!$C$52*I11</f>
        <v>35610.5561094824</v>
      </c>
      <c r="J36" s="66" t="n">
        <f aca="false">Hypothèses!$C$78*Hypothèses!$C$52*J11</f>
        <v>36322.767231672</v>
      </c>
      <c r="K36" s="66" t="n">
        <f aca="false">Hypothèses!$C$78*Hypothèses!$C$52*K11</f>
        <v>37049.2225763054</v>
      </c>
      <c r="L36" s="66" t="n">
        <f aca="false">Hypothèses!$C$78*Hypothèses!$C$52*L11</f>
        <v>37790.2070278316</v>
      </c>
      <c r="M36" s="66" t="n">
        <f aca="false">Hypothèses!$C$78*Hypothèses!$C$52*M11</f>
        <v>38546.0111683882</v>
      </c>
    </row>
    <row r="37" customFormat="false" ht="15" hidden="false" customHeight="false" outlineLevel="0" collapsed="false">
      <c r="A37" s="1"/>
      <c r="B37" s="61" t="s">
        <v>290</v>
      </c>
      <c r="C37" s="59"/>
      <c r="D37" s="66" t="n">
        <f aca="false">Hypothèses!$C$79*Hypothèses!$C$52*D11</f>
        <v>16975.5672755448</v>
      </c>
      <c r="E37" s="66" t="n">
        <f aca="false">Hypothèses!$C$79*Hypothèses!$C$52*E11</f>
        <v>17315.0786210557</v>
      </c>
      <c r="F37" s="66" t="n">
        <f aca="false">Hypothèses!$C$79*Hypothèses!$C$52*F11</f>
        <v>17661.3801934768</v>
      </c>
      <c r="G37" s="66" t="n">
        <f aca="false">Hypothèses!$C$79*Hypothèses!$C$52*G11</f>
        <v>18014.6077973463</v>
      </c>
      <c r="H37" s="66" t="n">
        <f aca="false">Hypothèses!$C$79*Hypothèses!$C$52*H11</f>
        <v>18374.8999532933</v>
      </c>
      <c r="I37" s="66" t="n">
        <f aca="false">Hypothèses!$C$79*Hypothèses!$C$52*I11</f>
        <v>18742.3979523591</v>
      </c>
      <c r="J37" s="66" t="n">
        <f aca="false">Hypothèses!$C$79*Hypothèses!$C$52*J11</f>
        <v>19117.2459114063</v>
      </c>
      <c r="K37" s="66" t="n">
        <f aca="false">Hypothèses!$C$79*Hypothèses!$C$52*K11</f>
        <v>19499.5908296344</v>
      </c>
      <c r="L37" s="66" t="n">
        <f aca="false">Hypothèses!$C$79*Hypothèses!$C$52*L11</f>
        <v>19889.5826462271</v>
      </c>
      <c r="M37" s="66" t="n">
        <f aca="false">Hypothèses!$C$79*Hypothèses!$C$52*M11</f>
        <v>20287.3742991517</v>
      </c>
    </row>
    <row r="38" customFormat="false" ht="15" hidden="false" customHeight="false" outlineLevel="0" collapsed="false">
      <c r="A38" s="1"/>
      <c r="B38" s="61" t="s">
        <v>291</v>
      </c>
      <c r="C38" s="59"/>
      <c r="D38" s="66" t="n">
        <f aca="false">Hypothèses!$C$80*Hypothèses!$C$52*D11</f>
        <v>25463.3509133172</v>
      </c>
      <c r="E38" s="66" t="n">
        <f aca="false">Hypothèses!$C$80*Hypothèses!$C$52*E11</f>
        <v>25972.6179315835</v>
      </c>
      <c r="F38" s="66" t="n">
        <f aca="false">Hypothèses!$C$80*Hypothèses!$C$52*F11</f>
        <v>26492.0702902152</v>
      </c>
      <c r="G38" s="66" t="n">
        <f aca="false">Hypothèses!$C$80*Hypothèses!$C$52*G11</f>
        <v>27021.9116960195</v>
      </c>
      <c r="H38" s="66" t="n">
        <f aca="false">Hypothèses!$C$80*Hypothèses!$C$52*H11</f>
        <v>27562.3499299399</v>
      </c>
      <c r="I38" s="66" t="n">
        <f aca="false">Hypothèses!$C$80*Hypothèses!$C$52*I11</f>
        <v>28113.5969285387</v>
      </c>
      <c r="J38" s="66" t="n">
        <f aca="false">Hypothèses!$C$80*Hypothèses!$C$52*J11</f>
        <v>28675.8688671095</v>
      </c>
      <c r="K38" s="66" t="n">
        <f aca="false">Hypothèses!$C$80*Hypothèses!$C$52*K11</f>
        <v>29249.3862444517</v>
      </c>
      <c r="L38" s="66" t="n">
        <f aca="false">Hypothèses!$C$80*Hypothèses!$C$52*L11</f>
        <v>29834.3739693407</v>
      </c>
      <c r="M38" s="66" t="n">
        <f aca="false">Hypothèses!$C$80*Hypothèses!$C$52*M11</f>
        <v>30431.0614487275</v>
      </c>
    </row>
    <row r="39" customFormat="false" ht="15" hidden="false" customHeight="false" outlineLevel="0" collapsed="false">
      <c r="A39" s="1"/>
      <c r="B39" s="61" t="s">
        <v>292</v>
      </c>
      <c r="C39" s="59"/>
      <c r="D39" s="66" t="n">
        <f aca="false">Hypothèses!$C$81*Hypothèses!$C$52*D11</f>
        <v>21219.459094431</v>
      </c>
      <c r="E39" s="66" t="n">
        <f aca="false">Hypothèses!$C$81*Hypothèses!$C$52*E11</f>
        <v>21643.8482763196</v>
      </c>
      <c r="F39" s="66" t="n">
        <f aca="false">Hypothèses!$C$81*Hypothèses!$C$52*F11</f>
        <v>22076.725241846</v>
      </c>
      <c r="G39" s="66" t="n">
        <f aca="false">Hypothèses!$C$81*Hypothèses!$C$52*G11</f>
        <v>22518.2597466829</v>
      </c>
      <c r="H39" s="66" t="n">
        <f aca="false">Hypothèses!$C$81*Hypothèses!$C$52*H11</f>
        <v>22968.6249416166</v>
      </c>
      <c r="I39" s="66" t="n">
        <f aca="false">Hypothèses!$C$81*Hypothèses!$C$52*I11</f>
        <v>23427.9974404489</v>
      </c>
      <c r="J39" s="66" t="n">
        <f aca="false">Hypothèses!$C$81*Hypothèses!$C$52*J11</f>
        <v>23896.5573892579</v>
      </c>
      <c r="K39" s="66" t="n">
        <f aca="false">Hypothèses!$C$81*Hypothèses!$C$52*K11</f>
        <v>24374.4885370431</v>
      </c>
      <c r="L39" s="66" t="n">
        <f aca="false">Hypothèses!$C$81*Hypothèses!$C$52*L11</f>
        <v>24861.9783077839</v>
      </c>
      <c r="M39" s="66" t="n">
        <f aca="false">Hypothèses!$C$81*Hypothèses!$C$52*M11</f>
        <v>25359.2178739396</v>
      </c>
    </row>
    <row r="40" customFormat="false" ht="15" hidden="false" customHeight="false" outlineLevel="0" collapsed="false">
      <c r="A40" s="1"/>
      <c r="B40" s="61" t="s">
        <v>293</v>
      </c>
      <c r="C40" s="59"/>
      <c r="D40" s="66" t="n">
        <f aca="false">Hypothèses!$C$82*Hypothèses!$C$52*D11</f>
        <v>10185.3403653269</v>
      </c>
      <c r="E40" s="66" t="n">
        <f aca="false">Hypothèses!$C$82*Hypothèses!$C$52*E11</f>
        <v>10389.0471726334</v>
      </c>
      <c r="F40" s="66" t="n">
        <f aca="false">Hypothèses!$C$82*Hypothèses!$C$52*F11</f>
        <v>10596.8281160861</v>
      </c>
      <c r="G40" s="66" t="n">
        <f aca="false">Hypothèses!$C$82*Hypothèses!$C$52*G11</f>
        <v>10808.7646784078</v>
      </c>
      <c r="H40" s="66" t="n">
        <f aca="false">Hypothèses!$C$82*Hypothèses!$C$52*H11</f>
        <v>11024.939971976</v>
      </c>
      <c r="I40" s="66" t="n">
        <f aca="false">Hypothèses!$C$82*Hypothèses!$C$52*I11</f>
        <v>11245.4387714155</v>
      </c>
      <c r="J40" s="66" t="n">
        <f aca="false">Hypothèses!$C$82*Hypothèses!$C$52*J11</f>
        <v>11470.3475468438</v>
      </c>
      <c r="K40" s="66" t="n">
        <f aca="false">Hypothèses!$C$82*Hypothèses!$C$52*K11</f>
        <v>11699.7544977807</v>
      </c>
      <c r="L40" s="66" t="n">
        <f aca="false">Hypothèses!$C$82*Hypothèses!$C$52*L11</f>
        <v>11933.7495877363</v>
      </c>
      <c r="M40" s="66" t="n">
        <f aca="false">Hypothèses!$C$82*Hypothèses!$C$52*M11</f>
        <v>12172.424579491</v>
      </c>
    </row>
    <row r="41" customFormat="false" ht="15" hidden="false" customHeight="false" outlineLevel="0" collapsed="false">
      <c r="A41" s="1"/>
      <c r="B41" s="61" t="s">
        <v>294</v>
      </c>
      <c r="C41" s="59"/>
      <c r="D41" s="66" t="n">
        <f aca="false">Hypothèses!$C$83*D11</f>
        <v>12000</v>
      </c>
      <c r="E41" s="66" t="n">
        <f aca="false">Hypothèses!$C$83*E11</f>
        <v>12240</v>
      </c>
      <c r="F41" s="66" t="n">
        <f aca="false">Hypothèses!$C$83*F11</f>
        <v>12484.8</v>
      </c>
      <c r="G41" s="66" t="n">
        <f aca="false">Hypothèses!$C$83*G11</f>
        <v>12734.496</v>
      </c>
      <c r="H41" s="66" t="n">
        <f aca="false">Hypothèses!$C$83*H11</f>
        <v>12989.18592</v>
      </c>
      <c r="I41" s="66" t="n">
        <f aca="false">Hypothèses!$C$83*I11</f>
        <v>13248.9696384</v>
      </c>
      <c r="J41" s="66" t="n">
        <f aca="false">Hypothèses!$C$83*J11</f>
        <v>13513.949031168</v>
      </c>
      <c r="K41" s="66" t="n">
        <f aca="false">Hypothèses!$C$83*K11</f>
        <v>13784.2280117914</v>
      </c>
      <c r="L41" s="66" t="n">
        <f aca="false">Hypothèses!$C$83*L11</f>
        <v>14059.9125720272</v>
      </c>
      <c r="M41" s="66" t="n">
        <f aca="false">Hypothèses!$C$83*M11</f>
        <v>14341.1108234677</v>
      </c>
    </row>
    <row r="42" customFormat="false" ht="15" hidden="false" customHeight="false" outlineLevel="0" collapsed="false">
      <c r="A42" s="1"/>
      <c r="B42" s="61" t="s">
        <v>295</v>
      </c>
      <c r="C42" s="59"/>
      <c r="D42" s="66" t="n">
        <f aca="false">Hypothèses!$C$84*Hypothèses!$C$52*D11</f>
        <v>12731.6754566586</v>
      </c>
      <c r="E42" s="66" t="n">
        <f aca="false">Hypothèses!$C$84*Hypothèses!$C$52*E11</f>
        <v>12986.3089657918</v>
      </c>
      <c r="F42" s="66" t="n">
        <f aca="false">Hypothèses!$C$84*Hypothèses!$C$52*F11</f>
        <v>13246.0351451076</v>
      </c>
      <c r="G42" s="66" t="n">
        <f aca="false">Hypothèses!$C$84*Hypothèses!$C$52*G11</f>
        <v>13510.9558480098</v>
      </c>
      <c r="H42" s="66" t="n">
        <f aca="false">Hypothèses!$C$84*Hypothèses!$C$52*H11</f>
        <v>13781.1749649699</v>
      </c>
      <c r="I42" s="66" t="n">
        <f aca="false">Hypothèses!$C$84*Hypothèses!$C$52*I11</f>
        <v>14056.7984642693</v>
      </c>
      <c r="J42" s="66" t="n">
        <f aca="false">Hypothèses!$C$84*Hypothèses!$C$52*J11</f>
        <v>14337.9344335547</v>
      </c>
      <c r="K42" s="66" t="n">
        <f aca="false">Hypothèses!$C$84*Hypothèses!$C$52*K11</f>
        <v>14624.6931222258</v>
      </c>
      <c r="L42" s="66" t="n">
        <f aca="false">Hypothèses!$C$84*Hypothèses!$C$52*L11</f>
        <v>14917.1869846703</v>
      </c>
      <c r="M42" s="66" t="n">
        <f aca="false">Hypothèses!$C$84*Hypothèses!$C$52*M11</f>
        <v>15215.5307243638</v>
      </c>
    </row>
    <row r="43" customFormat="false" ht="15" hidden="false" customHeight="false" outlineLevel="0" collapsed="false">
      <c r="A43" s="1"/>
      <c r="B43" s="61" t="s">
        <v>296</v>
      </c>
      <c r="C43" s="59"/>
      <c r="D43" s="66" t="n">
        <f aca="false">Hypothèses!$C$85*Hypothèses!$C$52*D11</f>
        <v>21219.459094431</v>
      </c>
      <c r="E43" s="66" t="n">
        <f aca="false">Hypothèses!$C$85*Hypothèses!$C$52*E11</f>
        <v>21643.8482763196</v>
      </c>
      <c r="F43" s="66" t="n">
        <f aca="false">Hypothèses!$C$85*Hypothèses!$C$52*F11</f>
        <v>22076.725241846</v>
      </c>
      <c r="G43" s="66" t="n">
        <f aca="false">Hypothèses!$C$85*Hypothèses!$C$52*G11</f>
        <v>22518.2597466829</v>
      </c>
      <c r="H43" s="66" t="n">
        <f aca="false">Hypothèses!$C$85*Hypothèses!$C$52*H11</f>
        <v>22968.6249416166</v>
      </c>
      <c r="I43" s="66" t="n">
        <f aca="false">Hypothèses!$C$85*Hypothèses!$C$52*I11</f>
        <v>23427.9974404489</v>
      </c>
      <c r="J43" s="66" t="n">
        <f aca="false">Hypothèses!$C$85*Hypothèses!$C$52*J11</f>
        <v>23896.5573892579</v>
      </c>
      <c r="K43" s="66" t="n">
        <f aca="false">Hypothèses!$C$85*Hypothèses!$C$52*K11</f>
        <v>24374.4885370431</v>
      </c>
      <c r="L43" s="66" t="n">
        <f aca="false">Hypothèses!$C$85*Hypothèses!$C$52*L11</f>
        <v>24861.9783077839</v>
      </c>
      <c r="M43" s="66" t="n">
        <f aca="false">Hypothèses!$C$85*Hypothèses!$C$52*M11</f>
        <v>25359.2178739396</v>
      </c>
    </row>
    <row r="44" customFormat="false" ht="15" hidden="false" customHeight="false" outlineLevel="0" collapsed="false">
      <c r="A44" s="1"/>
      <c r="B44" s="67" t="s">
        <v>297</v>
      </c>
      <c r="C44" s="68"/>
      <c r="D44" s="69" t="n">
        <f aca="false">D34+D36+D37+D38+D39+D40+D41+D42+D43</f>
        <v>433069.939156416</v>
      </c>
      <c r="E44" s="69" t="n">
        <f aca="false">E34+E36+E37+E38+E39+E40+E41+E42+E43</f>
        <v>443136.445485211</v>
      </c>
      <c r="F44" s="69" t="n">
        <f aca="false">F34+F36+F37+F38+F39+F40+F41+F42+F43</f>
        <v>453439.409629222</v>
      </c>
      <c r="G44" s="69" t="n">
        <f aca="false">G34+G36+G37+G38+G39+G40+G41+G42+G43</f>
        <v>463984.438936972</v>
      </c>
      <c r="H44" s="69" t="n">
        <f aca="false">H34+H36+H37+H38+H39+H40+H41+H42+H43</f>
        <v>474777.274858756</v>
      </c>
      <c r="I44" s="69" t="n">
        <f aca="false">I34+I36+I37+I38+I39+I40+I41+I42+I43</f>
        <v>485823.796177551</v>
      </c>
      <c r="J44" s="69" t="n">
        <f aca="false">J34+J36+J37+J38+J39+J40+J41+J42+J43</f>
        <v>497130.022318263</v>
      </c>
      <c r="K44" s="69" t="n">
        <f aca="false">K34+K36+K37+K38+K39+K40+K41+K42+K43</f>
        <v>508702.116737218</v>
      </c>
      <c r="L44" s="69" t="n">
        <f aca="false">L34+L36+L37+L38+L39+L40+L41+L42+L43</f>
        <v>520546.390393867</v>
      </c>
      <c r="M44" s="69" t="n">
        <f aca="false">M34+M36+M37+M38+M39+M40+M41+M42+M43</f>
        <v>532669.305306697</v>
      </c>
    </row>
    <row r="45" customFormat="false" ht="15" hidden="false" customHeight="false" outlineLevel="0" collapsed="false">
      <c r="A45" s="1"/>
      <c r="B45" s="1"/>
      <c r="C45" s="1"/>
      <c r="D45" s="1"/>
      <c r="E45" s="1"/>
      <c r="F45" s="1"/>
      <c r="G45" s="1"/>
      <c r="H45" s="1"/>
      <c r="I45" s="1"/>
      <c r="J45" s="1"/>
      <c r="K45" s="1"/>
      <c r="L45" s="1"/>
      <c r="M45" s="1"/>
    </row>
    <row r="46" customFormat="false" ht="19.5" hidden="false" customHeight="true" outlineLevel="0" collapsed="false">
      <c r="A46" s="1"/>
      <c r="B46" s="14" t="s">
        <v>298</v>
      </c>
      <c r="C46" s="15"/>
      <c r="D46" s="15"/>
      <c r="E46" s="15"/>
      <c r="F46" s="15"/>
      <c r="G46" s="15"/>
      <c r="H46" s="15"/>
      <c r="I46" s="15"/>
      <c r="J46" s="15"/>
      <c r="K46" s="15"/>
      <c r="L46" s="15"/>
      <c r="M46" s="15"/>
    </row>
    <row r="47" customFormat="false" ht="15" hidden="false" customHeight="false" outlineLevel="0" collapsed="false">
      <c r="A47" s="1"/>
      <c r="B47" s="67" t="s">
        <v>299</v>
      </c>
      <c r="C47" s="68"/>
      <c r="D47" s="69" t="n">
        <f aca="false">D23-D31-D44</f>
        <v>184462.793337298</v>
      </c>
      <c r="E47" s="69" t="n">
        <f aca="false">E23-E31-E44</f>
        <v>220979.734437921</v>
      </c>
      <c r="F47" s="69" t="n">
        <f aca="false">F23-F31-F44</f>
        <v>244909.563073452</v>
      </c>
      <c r="G47" s="69" t="n">
        <f aca="false">G23-G31-G44</f>
        <v>248331.513219756</v>
      </c>
      <c r="H47" s="69" t="n">
        <f aca="false">H23-H31-H44</f>
        <v>251784.996341107</v>
      </c>
      <c r="I47" s="69" t="n">
        <f aca="false">I23-I31-I44</f>
        <v>255269.720446308</v>
      </c>
      <c r="J47" s="69" t="n">
        <f aca="false">J23-J31-J44</f>
        <v>258785.364638074</v>
      </c>
      <c r="K47" s="69" t="n">
        <f aca="false">K23-K31-K44</f>
        <v>262331.577958245</v>
      </c>
      <c r="L47" s="69" t="n">
        <f aca="false">L23-L31-L44</f>
        <v>265907.978195505</v>
      </c>
      <c r="M47" s="69" t="n">
        <f aca="false">M23-M31-M44</f>
        <v>269514.150654463</v>
      </c>
    </row>
    <row r="48" customFormat="false" ht="15" hidden="false" customHeight="false" outlineLevel="0" collapsed="false">
      <c r="A48" s="1"/>
      <c r="B48" s="58" t="s">
        <v>300</v>
      </c>
      <c r="C48" s="59"/>
      <c r="D48" s="71" t="n">
        <f aca="false">IF(D23=0,0,D47/D23)</f>
        <v>0.236225432684115</v>
      </c>
      <c r="E48" s="71" t="n">
        <f aca="false">IF(E23=0,0,E47/E23)</f>
        <v>0.263139618595</v>
      </c>
      <c r="F48" s="71" t="n">
        <f aca="false">IF(F23=0,0,F47/F23)</f>
        <v>0.277339098519502</v>
      </c>
      <c r="G48" s="71" t="n">
        <f aca="false">IF(G23=0,0,G47/G23)</f>
        <v>0.275700160684416</v>
      </c>
      <c r="H48" s="71" t="n">
        <f aca="false">IF(H23=0,0,H47/H23)</f>
        <v>0.274053188840334</v>
      </c>
      <c r="I48" s="71" t="n">
        <f aca="false">IF(I23=0,0,I47/I23)</f>
        <v>0.272398143604861</v>
      </c>
      <c r="J48" s="71" t="n">
        <f aca="false">IF(J23=0,0,J47/J23)</f>
        <v>0.270734985402546</v>
      </c>
      <c r="K48" s="71" t="n">
        <f aca="false">IF(K23=0,0,K47/K23)</f>
        <v>0.269063674463946</v>
      </c>
      <c r="L48" s="71" t="n">
        <f aca="false">IF(L23=0,0,L47/L23)</f>
        <v>0.267384170824666</v>
      </c>
      <c r="M48" s="71" t="n">
        <f aca="false">IF(M23=0,0,M47/M23)</f>
        <v>0.26569643432441</v>
      </c>
    </row>
    <row r="49" customFormat="false" ht="15" hidden="false" customHeight="false" outlineLevel="0" collapsed="false">
      <c r="A49" s="1"/>
      <c r="B49" s="61" t="s">
        <v>301</v>
      </c>
      <c r="C49" s="59"/>
      <c r="D49" s="66" t="n">
        <f aca="false">Hypothèses!$C$91*D11</f>
        <v>84877.836377724</v>
      </c>
      <c r="E49" s="66" t="n">
        <f aca="false">Hypothèses!$C$91*E11</f>
        <v>86575.3931052785</v>
      </c>
      <c r="F49" s="66" t="n">
        <f aca="false">Hypothèses!$C$91*F11</f>
        <v>88306.900967384</v>
      </c>
      <c r="G49" s="66" t="n">
        <f aca="false">Hypothèses!$C$91*G11</f>
        <v>90073.0389867317</v>
      </c>
      <c r="H49" s="66" t="n">
        <f aca="false">Hypothèses!$C$91*H11</f>
        <v>91874.4997664663</v>
      </c>
      <c r="I49" s="66" t="n">
        <f aca="false">Hypothèses!$C$91*I11</f>
        <v>93711.9897617957</v>
      </c>
      <c r="J49" s="66" t="n">
        <f aca="false">Hypothèses!$C$91*J11</f>
        <v>95586.2295570316</v>
      </c>
      <c r="K49" s="66" t="n">
        <f aca="false">Hypothèses!$C$91*K11</f>
        <v>97497.9541481722</v>
      </c>
      <c r="L49" s="66" t="n">
        <f aca="false">Hypothèses!$C$91*L11</f>
        <v>99447.9132311357</v>
      </c>
      <c r="M49" s="66" t="n">
        <f aca="false">Hypothèses!$C$91*M11</f>
        <v>101436.871495758</v>
      </c>
    </row>
    <row r="50" customFormat="false" ht="15" hidden="false" customHeight="false" outlineLevel="0" collapsed="false">
      <c r="A50" s="1"/>
      <c r="B50" s="67" t="s">
        <v>302</v>
      </c>
      <c r="C50" s="68"/>
      <c r="D50" s="69" t="n">
        <f aca="false">D47-D49</f>
        <v>99584.956959574</v>
      </c>
      <c r="E50" s="69" t="n">
        <f aca="false">E47-E49</f>
        <v>134404.341332642</v>
      </c>
      <c r="F50" s="69" t="n">
        <f aca="false">F47-F49</f>
        <v>156602.662106068</v>
      </c>
      <c r="G50" s="69" t="n">
        <f aca="false">G47-G49</f>
        <v>158258.474233024</v>
      </c>
      <c r="H50" s="69" t="n">
        <f aca="false">H47-H49</f>
        <v>159910.49657464</v>
      </c>
      <c r="I50" s="69" t="n">
        <f aca="false">I47-I49</f>
        <v>161557.730684513</v>
      </c>
      <c r="J50" s="69" t="n">
        <f aca="false">J47-J49</f>
        <v>163199.135081042</v>
      </c>
      <c r="K50" s="69" t="n">
        <f aca="false">K47-K49</f>
        <v>164833.623810073</v>
      </c>
      <c r="L50" s="69" t="n">
        <f aca="false">L47-L49</f>
        <v>166460.06496437</v>
      </c>
      <c r="M50" s="69" t="n">
        <f aca="false">M47-M49</f>
        <v>168077.279158705</v>
      </c>
    </row>
    <row r="51" customFormat="false" ht="36.75" hidden="false" customHeight="true" outlineLevel="0" collapsed="false">
      <c r="A51" s="1"/>
      <c r="B51" s="58" t="s">
        <v>303</v>
      </c>
      <c r="C51" s="59" t="s">
        <v>304</v>
      </c>
      <c r="D51" s="71" t="n">
        <f aca="false">IF(D23=0,0,D50/D23)</f>
        <v>0.127529780510202</v>
      </c>
      <c r="E51" s="71" t="n">
        <f aca="false">IF(E23=0,0,E50/E23)</f>
        <v>0.160046835089845</v>
      </c>
      <c r="F51" s="71" t="n">
        <f aca="false">IF(F23=0,0,F50/F23)</f>
        <v>0.177339098519502</v>
      </c>
      <c r="G51" s="71" t="n">
        <f aca="false">IF(G23=0,0,G50/G23)</f>
        <v>0.175700160684416</v>
      </c>
      <c r="H51" s="71" t="n">
        <f aca="false">IF(H23=0,0,H50/H23)</f>
        <v>0.174053188840335</v>
      </c>
      <c r="I51" s="71" t="n">
        <f aca="false">IF(I23=0,0,I50/I23)</f>
        <v>0.172398143604861</v>
      </c>
      <c r="J51" s="71" t="n">
        <f aca="false">IF(J23=0,0,J50/J23)</f>
        <v>0.170734985402546</v>
      </c>
      <c r="K51" s="71" t="n">
        <f aca="false">IF(K23=0,0,K50/K23)</f>
        <v>0.169063674463946</v>
      </c>
      <c r="L51" s="71" t="n">
        <f aca="false">IF(L23=0,0,L50/L23)</f>
        <v>0.167384170824666</v>
      </c>
      <c r="M51" s="71" t="n">
        <f aca="false">IF(M23=0,0,M50/M23)</f>
        <v>0.16569643432441</v>
      </c>
    </row>
    <row r="52" customFormat="false" ht="15" hidden="false" customHeight="false" outlineLevel="0" collapsed="false">
      <c r="A52" s="1"/>
      <c r="B52" s="1"/>
      <c r="C52" s="1"/>
      <c r="D52" s="1"/>
      <c r="E52" s="1"/>
      <c r="F52" s="1"/>
      <c r="G52" s="1"/>
      <c r="H52" s="1"/>
      <c r="I52" s="1"/>
      <c r="J52" s="1"/>
      <c r="K52" s="1"/>
      <c r="L52" s="1"/>
      <c r="M52" s="1"/>
    </row>
    <row r="53" customFormat="false" ht="19.5" hidden="false" customHeight="true" outlineLevel="0" collapsed="false">
      <c r="A53" s="1"/>
      <c r="B53" s="14" t="s">
        <v>305</v>
      </c>
      <c r="C53" s="15"/>
      <c r="D53" s="15"/>
      <c r="E53" s="15"/>
      <c r="F53" s="15"/>
      <c r="G53" s="15"/>
      <c r="H53" s="15"/>
      <c r="I53" s="15"/>
      <c r="J53" s="15"/>
      <c r="K53" s="15"/>
      <c r="L53" s="15"/>
      <c r="M53" s="15"/>
    </row>
    <row r="54" customFormat="false" ht="15" hidden="false" customHeight="false" outlineLevel="0" collapsed="false">
      <c r="A54" s="1"/>
      <c r="B54" s="61" t="s">
        <v>306</v>
      </c>
      <c r="C54" s="59"/>
      <c r="D54" s="66" t="n">
        <f aca="false">D49</f>
        <v>84877.836377724</v>
      </c>
      <c r="E54" s="66" t="n">
        <f aca="false">E49</f>
        <v>86575.3931052785</v>
      </c>
      <c r="F54" s="66" t="n">
        <f aca="false">F49</f>
        <v>88306.900967384</v>
      </c>
      <c r="G54" s="66" t="n">
        <f aca="false">G49</f>
        <v>90073.0389867317</v>
      </c>
      <c r="H54" s="66" t="n">
        <f aca="false">H49</f>
        <v>91874.4997664663</v>
      </c>
      <c r="I54" s="66" t="n">
        <f aca="false">I49</f>
        <v>93711.9897617957</v>
      </c>
      <c r="J54" s="66" t="n">
        <f aca="false">J49</f>
        <v>95586.2295570316</v>
      </c>
      <c r="K54" s="66" t="n">
        <f aca="false">K49</f>
        <v>97497.9541481722</v>
      </c>
      <c r="L54" s="66" t="n">
        <f aca="false">L49</f>
        <v>99447.9132311357</v>
      </c>
      <c r="M54" s="66" t="n">
        <f aca="false">M49</f>
        <v>101436.871495758</v>
      </c>
    </row>
    <row r="55" customFormat="false" ht="15" hidden="false" customHeight="false" outlineLevel="0" collapsed="false">
      <c r="A55" s="1"/>
      <c r="B55" s="61" t="s">
        <v>307</v>
      </c>
      <c r="C55" s="59"/>
      <c r="D55" s="66" t="n">
        <f aca="false">D54*Hypothèses!$C$92</f>
        <v>8487.7836377724</v>
      </c>
      <c r="E55" s="66" t="n">
        <f aca="false">E54*Hypothèses!$C$92</f>
        <v>8657.53931052785</v>
      </c>
      <c r="F55" s="66" t="n">
        <f aca="false">F54*Hypothèses!$C$92</f>
        <v>8830.6900967384</v>
      </c>
      <c r="G55" s="66" t="n">
        <f aca="false">G54*Hypothèses!$C$92</f>
        <v>9007.30389867317</v>
      </c>
      <c r="H55" s="66" t="n">
        <f aca="false">H54*Hypothèses!$C$92</f>
        <v>9187.44997664663</v>
      </c>
      <c r="I55" s="66" t="n">
        <f aca="false">I54*Hypothèses!$C$92</f>
        <v>9371.19897617957</v>
      </c>
      <c r="J55" s="66" t="n">
        <f aca="false">J54*Hypothèses!$C$92</f>
        <v>9558.62295570316</v>
      </c>
      <c r="K55" s="66" t="n">
        <f aca="false">K54*Hypothèses!$C$92</f>
        <v>9749.79541481722</v>
      </c>
      <c r="L55" s="66" t="n">
        <f aca="false">L54*Hypothèses!$C$92</f>
        <v>9944.79132311357</v>
      </c>
      <c r="M55" s="66" t="n">
        <f aca="false">M54*Hypothèses!$C$92</f>
        <v>10143.6871495758</v>
      </c>
    </row>
    <row r="56" customFormat="false" ht="15" hidden="false" customHeight="false" outlineLevel="0" collapsed="false">
      <c r="A56" s="1"/>
      <c r="B56" s="67" t="s">
        <v>308</v>
      </c>
      <c r="C56" s="68"/>
      <c r="D56" s="69" t="n">
        <f aca="false">D54-D55</f>
        <v>76390.0527399516</v>
      </c>
      <c r="E56" s="69" t="n">
        <f aca="false">E54-E55</f>
        <v>77917.8537947506</v>
      </c>
      <c r="F56" s="69" t="n">
        <f aca="false">F54-F55</f>
        <v>79476.2108706456</v>
      </c>
      <c r="G56" s="69" t="n">
        <f aca="false">G54-G55</f>
        <v>81065.7350880585</v>
      </c>
      <c r="H56" s="69" t="n">
        <f aca="false">H54-H55</f>
        <v>82687.0497898197</v>
      </c>
      <c r="I56" s="69" t="n">
        <f aca="false">I54-I55</f>
        <v>84340.7907856161</v>
      </c>
      <c r="J56" s="69" t="n">
        <f aca="false">J54-J55</f>
        <v>86027.6066013284</v>
      </c>
      <c r="K56" s="69" t="n">
        <f aca="false">K54-K55</f>
        <v>87748.158733355</v>
      </c>
      <c r="L56" s="69" t="n">
        <f aca="false">L54-L55</f>
        <v>89503.1219080221</v>
      </c>
      <c r="M56" s="69" t="n">
        <f aca="false">M54-M55</f>
        <v>91293.1843461825</v>
      </c>
    </row>
    <row r="57" customFormat="false" ht="15" hidden="false" customHeight="false" outlineLevel="0" collapsed="false">
      <c r="A57" s="1"/>
      <c r="B57" s="1"/>
      <c r="C57" s="1"/>
      <c r="D57" s="1"/>
      <c r="E57" s="1"/>
      <c r="F57" s="1"/>
      <c r="G57" s="1"/>
      <c r="H57" s="1"/>
      <c r="I57" s="1"/>
      <c r="J57" s="1"/>
      <c r="K57" s="1"/>
      <c r="L57" s="1"/>
      <c r="M57" s="1"/>
    </row>
    <row r="58" customFormat="false" ht="19.5" hidden="false" customHeight="true" outlineLevel="0" collapsed="false">
      <c r="A58" s="1"/>
      <c r="B58" s="14" t="s">
        <v>309</v>
      </c>
      <c r="C58" s="15"/>
      <c r="D58" s="15"/>
      <c r="E58" s="15"/>
      <c r="F58" s="15"/>
      <c r="G58" s="15"/>
      <c r="H58" s="15"/>
      <c r="I58" s="15"/>
      <c r="J58" s="15"/>
      <c r="K58" s="15"/>
      <c r="L58" s="15"/>
      <c r="M58" s="15"/>
    </row>
    <row r="59" customFormat="false" ht="15" hidden="false" customHeight="false" outlineLevel="0" collapsed="false">
      <c r="A59" s="1"/>
      <c r="B59" s="67" t="s">
        <v>310</v>
      </c>
      <c r="C59" s="68"/>
      <c r="D59" s="69" t="n">
        <f aca="false">D47-D55</f>
        <v>175975.009699526</v>
      </c>
      <c r="E59" s="69" t="n">
        <f aca="false">E47-E55</f>
        <v>212322.195127393</v>
      </c>
      <c r="F59" s="69" t="n">
        <f aca="false">F47-F55</f>
        <v>236078.872976714</v>
      </c>
      <c r="G59" s="69" t="n">
        <f aca="false">G47-G55</f>
        <v>239324.209321083</v>
      </c>
      <c r="H59" s="69" t="n">
        <f aca="false">H47-H55</f>
        <v>242597.54636446</v>
      </c>
      <c r="I59" s="69" t="n">
        <f aca="false">I47-I55</f>
        <v>245898.521470129</v>
      </c>
      <c r="J59" s="69" t="n">
        <f aca="false">J47-J55</f>
        <v>249226.741682371</v>
      </c>
      <c r="K59" s="69" t="n">
        <f aca="false">K47-K55</f>
        <v>252581.782543428</v>
      </c>
      <c r="L59" s="69" t="n">
        <f aca="false">L47-L55</f>
        <v>255963.186872392</v>
      </c>
      <c r="M59" s="69" t="n">
        <f aca="false">M47-M55</f>
        <v>259370.463504887</v>
      </c>
    </row>
    <row r="60" customFormat="false" ht="15" hidden="false" customHeight="false" outlineLevel="0" collapsed="false">
      <c r="A60" s="1"/>
      <c r="B60" s="58" t="s">
        <v>311</v>
      </c>
      <c r="C60" s="59"/>
      <c r="D60" s="71" t="n">
        <f aca="false">IF(D23=0,0,D59/D23)</f>
        <v>0.225355867466723</v>
      </c>
      <c r="E60" s="71" t="n">
        <f aca="false">IF(E23=0,0,E59/E23)</f>
        <v>0.252830340244484</v>
      </c>
      <c r="F60" s="71" t="n">
        <f aca="false">IF(F23=0,0,F59/F23)</f>
        <v>0.267339098519502</v>
      </c>
      <c r="G60" s="71" t="n">
        <f aca="false">IF(G23=0,0,G59/G23)</f>
        <v>0.265700160684416</v>
      </c>
      <c r="H60" s="71" t="n">
        <f aca="false">IF(H23=0,0,H59/H23)</f>
        <v>0.264053188840334</v>
      </c>
      <c r="I60" s="71" t="n">
        <f aca="false">IF(I23=0,0,I59/I23)</f>
        <v>0.262398143604861</v>
      </c>
      <c r="J60" s="71" t="n">
        <f aca="false">IF(J23=0,0,J59/J23)</f>
        <v>0.260734985402546</v>
      </c>
      <c r="K60" s="71" t="n">
        <f aca="false">IF(K23=0,0,K59/K23)</f>
        <v>0.259063674463946</v>
      </c>
      <c r="L60" s="71" t="n">
        <f aca="false">IF(L23=0,0,L59/L23)</f>
        <v>0.257384170824666</v>
      </c>
      <c r="M60" s="71" t="n">
        <f aca="false">IF(M23=0,0,M59/M23)</f>
        <v>0.255696434324409</v>
      </c>
    </row>
    <row r="61" customFormat="false" ht="15" hidden="false" customHeight="false" outlineLevel="0" collapsed="false">
      <c r="A61" s="1"/>
      <c r="B61" s="61" t="s">
        <v>312</v>
      </c>
      <c r="C61" s="59"/>
      <c r="D61" s="66" t="n">
        <f aca="false">D23*Hypothèses!$C$86</f>
        <v>31235.0437870024</v>
      </c>
      <c r="E61" s="66" t="n">
        <f aca="false">E23*Hypothèses!$C$86</f>
        <v>33591.252524848</v>
      </c>
      <c r="F61" s="66" t="n">
        <f aca="false">F23*Hypothèses!$C$86</f>
        <v>35322.7603869536</v>
      </c>
      <c r="G61" s="66" t="n">
        <f aca="false">G23*Hypothèses!$C$86</f>
        <v>36029.2155946927</v>
      </c>
      <c r="H61" s="66" t="n">
        <f aca="false">H23*Hypothèses!$C$86</f>
        <v>36749.7999065865</v>
      </c>
      <c r="I61" s="66" t="n">
        <f aca="false">I23*Hypothèses!$C$86</f>
        <v>37484.7959047183</v>
      </c>
      <c r="J61" s="66" t="n">
        <f aca="false">J23*Hypothèses!$C$86</f>
        <v>38234.4918228126</v>
      </c>
      <c r="K61" s="66" t="n">
        <f aca="false">K23*Hypothèses!$C$86</f>
        <v>38999.1816592689</v>
      </c>
      <c r="L61" s="66" t="n">
        <f aca="false">L23*Hypothèses!$C$86</f>
        <v>39779.1652924543</v>
      </c>
      <c r="M61" s="66" t="n">
        <f aca="false">M23*Hypothèses!$C$86</f>
        <v>40574.7485983034</v>
      </c>
    </row>
    <row r="62" customFormat="false" ht="15" hidden="false" customHeight="false" outlineLevel="0" collapsed="false">
      <c r="A62" s="1"/>
      <c r="B62" s="1"/>
      <c r="C62" s="1"/>
      <c r="D62" s="1"/>
      <c r="E62" s="1"/>
      <c r="F62" s="1"/>
      <c r="G62" s="1"/>
      <c r="H62" s="1"/>
      <c r="I62" s="1"/>
      <c r="J62" s="1"/>
      <c r="K62" s="1"/>
      <c r="L62" s="1"/>
      <c r="M62" s="1"/>
    </row>
    <row r="63" customFormat="false" ht="19.5" hidden="false" customHeight="true" outlineLevel="0" collapsed="false">
      <c r="A63" s="1"/>
      <c r="B63" s="14" t="s">
        <v>313</v>
      </c>
      <c r="C63" s="15"/>
      <c r="D63" s="15"/>
      <c r="E63" s="15"/>
      <c r="F63" s="15"/>
      <c r="G63" s="15"/>
      <c r="H63" s="15"/>
      <c r="I63" s="15"/>
      <c r="J63" s="15"/>
      <c r="K63" s="15"/>
      <c r="L63" s="15"/>
      <c r="M63" s="15"/>
    </row>
    <row r="64" customFormat="false" ht="15" hidden="false" customHeight="false" outlineLevel="0" collapsed="false">
      <c r="A64" s="1"/>
      <c r="B64" s="61" t="s">
        <v>314</v>
      </c>
      <c r="C64" s="59"/>
      <c r="D64" s="66" t="n">
        <f aca="false">Financement!D69</f>
        <v>80537.7911096061</v>
      </c>
      <c r="E64" s="66" t="n">
        <f aca="false">Financement!E69</f>
        <v>80537.7911096061</v>
      </c>
      <c r="F64" s="66" t="n">
        <f aca="false">Financement!F69</f>
        <v>80537.7911096061</v>
      </c>
      <c r="G64" s="66" t="n">
        <f aca="false">Financement!G69</f>
        <v>80537.7911096061</v>
      </c>
      <c r="H64" s="66" t="n">
        <f aca="false">Financement!H69</f>
        <v>80537.7911096061</v>
      </c>
      <c r="I64" s="66" t="n">
        <f aca="false">Financement!I69</f>
        <v>80537.7911096061</v>
      </c>
      <c r="J64" s="66" t="n">
        <f aca="false">Financement!J69</f>
        <v>80537.7911096061</v>
      </c>
      <c r="K64" s="66" t="n">
        <f aca="false">Financement!K69</f>
        <v>80537.7911096061</v>
      </c>
      <c r="L64" s="66" t="n">
        <f aca="false">Financement!L69</f>
        <v>80537.7911096061</v>
      </c>
      <c r="M64" s="66" t="n">
        <f aca="false">Financement!M69</f>
        <v>80537.7911096061</v>
      </c>
    </row>
    <row r="65" customFormat="false" ht="15" hidden="false" customHeight="false" outlineLevel="0" collapsed="false">
      <c r="A65" s="1"/>
      <c r="B65" s="58" t="s">
        <v>315</v>
      </c>
      <c r="C65" s="59"/>
      <c r="D65" s="72" t="n">
        <f aca="false">Financement!D70</f>
        <v>43701.6890477325</v>
      </c>
      <c r="E65" s="72" t="n">
        <f aca="false">Financement!E70</f>
        <v>42197.1082903605</v>
      </c>
      <c r="F65" s="72" t="n">
        <f aca="false">Financement!F70</f>
        <v>40631.0725166122</v>
      </c>
      <c r="G65" s="72" t="n">
        <f aca="false">Financement!G70</f>
        <v>39001.0715793788</v>
      </c>
      <c r="H65" s="72" t="n">
        <f aca="false">Financement!H70</f>
        <v>37304.4928039002</v>
      </c>
      <c r="I65" s="72" t="n">
        <f aca="false">Financement!I70</f>
        <v>35538.6167999943</v>
      </c>
      <c r="J65" s="72" t="n">
        <f aca="false">Financement!J70</f>
        <v>33700.6131032366</v>
      </c>
      <c r="K65" s="72" t="n">
        <f aca="false">Financement!K70</f>
        <v>31787.5356381014</v>
      </c>
      <c r="L65" s="72" t="n">
        <f aca="false">Financement!L70</f>
        <v>29796.3179957951</v>
      </c>
      <c r="M65" s="72" t="n">
        <f aca="false">Financement!M70</f>
        <v>27723.7685192106</v>
      </c>
    </row>
    <row r="66" customFormat="false" ht="15" hidden="false" customHeight="false" outlineLevel="0" collapsed="false">
      <c r="A66" s="1"/>
      <c r="B66" s="61" t="s">
        <v>316</v>
      </c>
      <c r="C66" s="59"/>
      <c r="D66" s="66" t="n">
        <f aca="false">Financement!D73</f>
        <v>97289.2591197196</v>
      </c>
      <c r="E66" s="66" t="n">
        <f aca="false">Financement!E73</f>
        <v>97289.2591197196</v>
      </c>
      <c r="F66" s="66" t="n">
        <f aca="false">Financement!F73</f>
        <v>97289.2591197196</v>
      </c>
      <c r="G66" s="66" t="n">
        <f aca="false">Financement!G73</f>
        <v>97289.2591197196</v>
      </c>
      <c r="H66" s="66" t="n">
        <f aca="false">Financement!H73</f>
        <v>97289.2591197196</v>
      </c>
      <c r="I66" s="66" t="n">
        <f aca="false">Financement!I73</f>
        <v>97289.2591197196</v>
      </c>
      <c r="J66" s="66" t="n">
        <f aca="false">Financement!J73</f>
        <v>97289.2591197196</v>
      </c>
      <c r="K66" s="66" t="n">
        <f aca="false">Financement!K73</f>
        <v>97289.2591197196</v>
      </c>
      <c r="L66" s="66" t="n">
        <f aca="false">Financement!L73</f>
        <v>97289.2591197196</v>
      </c>
      <c r="M66" s="66" t="n">
        <f aca="false">Financement!M73</f>
        <v>97289.2591197196</v>
      </c>
    </row>
    <row r="67" customFormat="false" ht="15" hidden="false" customHeight="false" outlineLevel="0" collapsed="false">
      <c r="A67" s="1"/>
      <c r="B67" s="58" t="s">
        <v>315</v>
      </c>
      <c r="C67" s="59"/>
      <c r="D67" s="72" t="n">
        <f aca="false">Financement!D74</f>
        <v>32134.8147065649</v>
      </c>
      <c r="E67" s="72" t="n">
        <f aca="false">Financement!E74</f>
        <v>29338.2602021598</v>
      </c>
      <c r="F67" s="72" t="n">
        <f aca="false">Financement!F74</f>
        <v>26421.6721809846</v>
      </c>
      <c r="G67" s="72" t="n">
        <f aca="false">Financement!G74</f>
        <v>23379.898572831</v>
      </c>
      <c r="H67" s="72" t="n">
        <f aca="false">Financement!H74</f>
        <v>20207.5661706937</v>
      </c>
      <c r="I67" s="72" t="n">
        <f aca="false">Financement!I74</f>
        <v>16899.0711391522</v>
      </c>
      <c r="J67" s="72" t="n">
        <f aca="false">Financement!J74</f>
        <v>13448.5691153541</v>
      </c>
      <c r="K67" s="72" t="n">
        <f aca="false">Financement!K74</f>
        <v>9849.96488511364</v>
      </c>
      <c r="L67" s="72" t="n">
        <f aca="false">Financement!L74</f>
        <v>6096.90161588831</v>
      </c>
      <c r="M67" s="72" t="n">
        <f aca="false">Financement!M74</f>
        <v>2182.74962761391</v>
      </c>
    </row>
    <row r="68" customFormat="false" ht="15" hidden="false" customHeight="false" outlineLevel="0" collapsed="false">
      <c r="A68" s="1"/>
      <c r="B68" s="67" t="s">
        <v>317</v>
      </c>
      <c r="C68" s="68"/>
      <c r="D68" s="69" t="n">
        <f aca="false">D64+D66</f>
        <v>177827.050229326</v>
      </c>
      <c r="E68" s="69" t="n">
        <f aca="false">E64+E66</f>
        <v>177827.050229326</v>
      </c>
      <c r="F68" s="69" t="n">
        <f aca="false">F64+F66</f>
        <v>177827.050229326</v>
      </c>
      <c r="G68" s="69" t="n">
        <f aca="false">G64+G66</f>
        <v>177827.050229326</v>
      </c>
      <c r="H68" s="69" t="n">
        <f aca="false">H64+H66</f>
        <v>177827.050229326</v>
      </c>
      <c r="I68" s="69" t="n">
        <f aca="false">I64+I66</f>
        <v>177827.050229326</v>
      </c>
      <c r="J68" s="69" t="n">
        <f aca="false">J64+J66</f>
        <v>177827.050229326</v>
      </c>
      <c r="K68" s="69" t="n">
        <f aca="false">K64+K66</f>
        <v>177827.050229326</v>
      </c>
      <c r="L68" s="69" t="n">
        <f aca="false">L64+L66</f>
        <v>177827.050229326</v>
      </c>
      <c r="M68" s="69" t="n">
        <f aca="false">M64+M66</f>
        <v>177827.050229326</v>
      </c>
    </row>
    <row r="69" customFormat="false" ht="15" hidden="false" customHeight="false" outlineLevel="0" collapsed="false">
      <c r="A69" s="1"/>
      <c r="B69" s="61" t="s">
        <v>318</v>
      </c>
      <c r="C69" s="59"/>
      <c r="D69" s="66" t="n">
        <f aca="false">IF(D6&lt;=Hypothèses!$C$138,Financement!$C$29/Hypothèses!$C$138,0)</f>
        <v>32000</v>
      </c>
      <c r="E69" s="66" t="n">
        <f aca="false">IF(E6&lt;=Hypothèses!$C$138,Financement!$C$29/Hypothèses!$C$138,0)</f>
        <v>32000</v>
      </c>
      <c r="F69" s="66" t="n">
        <f aca="false">IF(F6&lt;=Hypothèses!$C$138,Financement!$C$29/Hypothèses!$C$138,0)</f>
        <v>32000</v>
      </c>
      <c r="G69" s="66" t="n">
        <f aca="false">IF(G6&lt;=Hypothèses!$C$138,Financement!$C$29/Hypothèses!$C$138,0)</f>
        <v>32000</v>
      </c>
      <c r="H69" s="66" t="n">
        <f aca="false">IF(H6&lt;=Hypothèses!$C$138,Financement!$C$29/Hypothèses!$C$138,0)</f>
        <v>32000</v>
      </c>
      <c r="I69" s="66" t="n">
        <f aca="false">IF(I6&lt;=Hypothèses!$C$138,Financement!$C$29/Hypothèses!$C$138,0)</f>
        <v>32000</v>
      </c>
      <c r="J69" s="66" t="n">
        <f aca="false">IF(J6&lt;=Hypothèses!$C$138,Financement!$C$29/Hypothèses!$C$138,0)</f>
        <v>32000</v>
      </c>
      <c r="K69" s="66" t="n">
        <f aca="false">IF(K6&lt;=Hypothèses!$C$138,Financement!$C$29/Hypothèses!$C$138,0)</f>
        <v>32000</v>
      </c>
      <c r="L69" s="66" t="n">
        <f aca="false">IF(L6&lt;=Hypothèses!$C$138,Financement!$C$29/Hypothèses!$C$138,0)</f>
        <v>32000</v>
      </c>
      <c r="M69" s="66" t="n">
        <f aca="false">IF(M6&lt;=Hypothèses!$C$138,Financement!$C$29/Hypothèses!$C$138,0)</f>
        <v>32000</v>
      </c>
    </row>
    <row r="70" customFormat="false" ht="15" hidden="false" customHeight="false" outlineLevel="0" collapsed="false">
      <c r="A70" s="1"/>
      <c r="B70" s="61" t="s">
        <v>319</v>
      </c>
      <c r="C70" s="59"/>
      <c r="D70" s="66" t="n">
        <f aca="false">D50-D69-D67</f>
        <v>35450.1422530091</v>
      </c>
      <c r="E70" s="66" t="n">
        <f aca="false">E50-E69-E67</f>
        <v>73066.0811304825</v>
      </c>
      <c r="F70" s="66" t="n">
        <f aca="false">F50-F69-F67</f>
        <v>98180.9899250835</v>
      </c>
      <c r="G70" s="66" t="n">
        <f aca="false">G50-G69-G67</f>
        <v>102878.575660193</v>
      </c>
      <c r="H70" s="66" t="n">
        <f aca="false">H50-H69-H67</f>
        <v>107702.930403947</v>
      </c>
      <c r="I70" s="66" t="n">
        <f aca="false">I50-I69-I67</f>
        <v>112658.65954536</v>
      </c>
      <c r="J70" s="66" t="n">
        <f aca="false">J50-J69-J67</f>
        <v>117750.565965688</v>
      </c>
      <c r="K70" s="66" t="n">
        <f aca="false">K50-K69-K67</f>
        <v>122983.65892496</v>
      </c>
      <c r="L70" s="66" t="n">
        <f aca="false">L50-L69-L67</f>
        <v>128363.163348481</v>
      </c>
      <c r="M70" s="66" t="n">
        <f aca="false">M50-M69-M67</f>
        <v>133894.529531091</v>
      </c>
    </row>
    <row r="71" customFormat="false" ht="15" hidden="false" customHeight="false" outlineLevel="0" collapsed="false">
      <c r="A71" s="1"/>
      <c r="B71" s="61" t="s">
        <v>320</v>
      </c>
      <c r="C71" s="59"/>
      <c r="D71" s="66" t="n">
        <f aca="false">IF(D70&lt;=0,0,MIN(D70,Hypothèses!$C$133)*Hypothèses!$C$132+MAX(D70-Hypothèses!$C$133,0)*Hypothèses!$C$134)</f>
        <v>5317.52133795136</v>
      </c>
      <c r="E71" s="66" t="n">
        <f aca="false">IF(E70&lt;=0,0,MIN(E70,Hypothèses!$C$133)*Hypothèses!$C$132+MAX(E70-Hypothèses!$C$133,0)*Hypothèses!$C$134)</f>
        <v>14016.5202826206</v>
      </c>
      <c r="F71" s="66" t="n">
        <f aca="false">IF(F70&lt;=0,0,MIN(F70,Hypothèses!$C$133)*Hypothèses!$C$132+MAX(F70-Hypothèses!$C$133,0)*Hypothèses!$C$134)</f>
        <v>20295.2474812709</v>
      </c>
      <c r="G71" s="66" t="n">
        <f aca="false">IF(G70&lt;=0,0,MIN(G70,Hypothèses!$C$133)*Hypothèses!$C$132+MAX(G70-Hypothèses!$C$133,0)*Hypothèses!$C$134)</f>
        <v>21469.6439150483</v>
      </c>
      <c r="H71" s="66" t="n">
        <f aca="false">IF(H70&lt;=0,0,MIN(H70,Hypothèses!$C$133)*Hypothèses!$C$132+MAX(H70-Hypothèses!$C$133,0)*Hypothèses!$C$134)</f>
        <v>22675.7326009867</v>
      </c>
      <c r="I71" s="66" t="n">
        <f aca="false">IF(I70&lt;=0,0,MIN(I70,Hypothèses!$C$133)*Hypothèses!$C$132+MAX(I70-Hypothèses!$C$133,0)*Hypothèses!$C$134)</f>
        <v>23914.6648863401</v>
      </c>
      <c r="J71" s="66" t="n">
        <f aca="false">IF(J70&lt;=0,0,MIN(J70,Hypothèses!$C$133)*Hypothèses!$C$132+MAX(J70-Hypothèses!$C$133,0)*Hypothèses!$C$134)</f>
        <v>25187.641491422</v>
      </c>
      <c r="K71" s="66" t="n">
        <f aca="false">IF(K70&lt;=0,0,MIN(K70,Hypothèses!$C$133)*Hypothèses!$C$132+MAX(K70-Hypothèses!$C$133,0)*Hypothèses!$C$134)</f>
        <v>26495.9147312399</v>
      </c>
      <c r="L71" s="66" t="n">
        <f aca="false">IF(L70&lt;=0,0,MIN(L70,Hypothèses!$C$133)*Hypothèses!$C$132+MAX(L70-Hypothèses!$C$133,0)*Hypothèses!$C$134)</f>
        <v>27840.7908371204</v>
      </c>
      <c r="M71" s="66" t="n">
        <f aca="false">IF(M70&lt;=0,0,MIN(M70,Hypothèses!$C$133)*Hypothèses!$C$132+MAX(M70-Hypothèses!$C$133,0)*Hypothèses!$C$134)</f>
        <v>29223.6323827728</v>
      </c>
    </row>
    <row r="72" customFormat="false" ht="15" hidden="false" customHeight="false" outlineLevel="0" collapsed="false">
      <c r="A72" s="1"/>
      <c r="B72" s="61" t="s">
        <v>321</v>
      </c>
      <c r="C72" s="59"/>
      <c r="D72" s="66" t="n">
        <f aca="false">IF(D6&lt;=Hypothèses!$C$136,(Financement!$C$15+Financement!$C$16+Financement!$C$17+Financement!$C$18)*(1-Hypothèses!$C$135)/Hypothèses!$C$136,0)+IF(D6&lt;=Hypothèses!$C$137,Financement!$C$19/Hypothèses!$C$137,0)</f>
        <v>38926.5497138828</v>
      </c>
      <c r="E72" s="66" t="n">
        <f aca="false">IF(E6&lt;=Hypothèses!$C$136,(Financement!$C$15+Financement!$C$16+Financement!$C$17+Financement!$C$18)*(1-Hypothèses!$C$135)/Hypothèses!$C$136,0)+IF(E6&lt;=Hypothèses!$C$137,Financement!$C$19/Hypothèses!$C$137,0)</f>
        <v>38926.5497138828</v>
      </c>
      <c r="F72" s="66" t="n">
        <f aca="false">IF(F6&lt;=Hypothèses!$C$136,(Financement!$C$15+Financement!$C$16+Financement!$C$17+Financement!$C$18)*(1-Hypothèses!$C$135)/Hypothèses!$C$136,0)+IF(F6&lt;=Hypothèses!$C$137,Financement!$C$19/Hypothèses!$C$137,0)</f>
        <v>38926.5497138828</v>
      </c>
      <c r="G72" s="66" t="n">
        <f aca="false">IF(G6&lt;=Hypothèses!$C$136,(Financement!$C$15+Financement!$C$16+Financement!$C$17+Financement!$C$18)*(1-Hypothèses!$C$135)/Hypothèses!$C$136,0)+IF(G6&lt;=Hypothèses!$C$137,Financement!$C$19/Hypothèses!$C$137,0)</f>
        <v>38926.5497138828</v>
      </c>
      <c r="H72" s="66" t="n">
        <f aca="false">IF(H6&lt;=Hypothèses!$C$136,(Financement!$C$15+Financement!$C$16+Financement!$C$17+Financement!$C$18)*(1-Hypothèses!$C$135)/Hypothèses!$C$136,0)+IF(H6&lt;=Hypothèses!$C$137,Financement!$C$19/Hypothèses!$C$137,0)</f>
        <v>38926.5497138828</v>
      </c>
      <c r="I72" s="66" t="n">
        <f aca="false">IF(I6&lt;=Hypothèses!$C$136,(Financement!$C$15+Financement!$C$16+Financement!$C$17+Financement!$C$18)*(1-Hypothèses!$C$135)/Hypothèses!$C$136,0)+IF(I6&lt;=Hypothèses!$C$137,Financement!$C$19/Hypothèses!$C$137,0)</f>
        <v>38926.5497138828</v>
      </c>
      <c r="J72" s="66" t="n">
        <f aca="false">IF(J6&lt;=Hypothèses!$C$136,(Financement!$C$15+Financement!$C$16+Financement!$C$17+Financement!$C$18)*(1-Hypothèses!$C$135)/Hypothèses!$C$136,0)+IF(J6&lt;=Hypothèses!$C$137,Financement!$C$19/Hypothèses!$C$137,0)</f>
        <v>38926.5497138828</v>
      </c>
      <c r="K72" s="66" t="n">
        <f aca="false">IF(K6&lt;=Hypothèses!$C$136,(Financement!$C$15+Financement!$C$16+Financement!$C$17+Financement!$C$18)*(1-Hypothèses!$C$135)/Hypothèses!$C$136,0)+IF(K6&lt;=Hypothèses!$C$137,Financement!$C$19/Hypothèses!$C$137,0)</f>
        <v>38926.5497138828</v>
      </c>
      <c r="L72" s="66" t="n">
        <f aca="false">IF(L6&lt;=Hypothèses!$C$136,(Financement!$C$15+Financement!$C$16+Financement!$C$17+Financement!$C$18)*(1-Hypothèses!$C$135)/Hypothèses!$C$136,0)+IF(L6&lt;=Hypothèses!$C$137,Financement!$C$19/Hypothèses!$C$137,0)</f>
        <v>38926.5497138828</v>
      </c>
      <c r="M72" s="66" t="n">
        <f aca="false">IF(M6&lt;=Hypothèses!$C$136,(Financement!$C$15+Financement!$C$16+Financement!$C$17+Financement!$C$18)*(1-Hypothèses!$C$135)/Hypothèses!$C$136,0)+IF(M6&lt;=Hypothèses!$C$137,Financement!$C$19/Hypothèses!$C$137,0)</f>
        <v>38926.5497138828</v>
      </c>
    </row>
    <row r="73" customFormat="false" ht="15" hidden="false" customHeight="false" outlineLevel="0" collapsed="false">
      <c r="A73" s="1"/>
      <c r="B73" s="61" t="s">
        <v>322</v>
      </c>
      <c r="C73" s="59"/>
      <c r="D73" s="66" t="n">
        <f aca="false">D56-D72-D65</f>
        <v>-6238.18602166379</v>
      </c>
      <c r="E73" s="66" t="n">
        <f aca="false">E56-E72-E65</f>
        <v>-3205.80420949275</v>
      </c>
      <c r="F73" s="66" t="n">
        <f aca="false">F56-F72-F65</f>
        <v>-81.4113598493495</v>
      </c>
      <c r="G73" s="66" t="n">
        <f aca="false">G56-G72-G65</f>
        <v>3138.11379479693</v>
      </c>
      <c r="H73" s="66" t="n">
        <f aca="false">H56-H72-H65</f>
        <v>6456.00727203671</v>
      </c>
      <c r="I73" s="66" t="n">
        <f aca="false">I56-I72-I65</f>
        <v>9875.62427173894</v>
      </c>
      <c r="J73" s="66" t="n">
        <f aca="false">J56-J72-J65</f>
        <v>13400.443784209</v>
      </c>
      <c r="K73" s="66" t="n">
        <f aca="false">K56-K72-K65</f>
        <v>17034.0733813708</v>
      </c>
      <c r="L73" s="66" t="n">
        <f aca="false">L56-L72-L65</f>
        <v>20780.2541983442</v>
      </c>
      <c r="M73" s="66" t="n">
        <f aca="false">M56-M72-M65</f>
        <v>24642.8661130891</v>
      </c>
    </row>
    <row r="74" customFormat="false" ht="15" hidden="false" customHeight="false" outlineLevel="0" collapsed="false">
      <c r="A74" s="1"/>
      <c r="B74" s="61" t="s">
        <v>323</v>
      </c>
      <c r="C74" s="59"/>
      <c r="D74" s="66" t="n">
        <f aca="false">IF(D73&lt;=0,0,MIN(D73,Hypothèses!$C$133)*Hypothèses!$C$132+MAX(D73-Hypothèses!$C$133,0)*Hypothèses!$C$134)</f>
        <v>0</v>
      </c>
      <c r="E74" s="66" t="n">
        <f aca="false">IF(E73&lt;=0,0,MIN(E73,Hypothèses!$C$133)*Hypothèses!$C$132+MAX(E73-Hypothèses!$C$133,0)*Hypothèses!$C$134)</f>
        <v>0</v>
      </c>
      <c r="F74" s="66" t="n">
        <f aca="false">IF(F73&lt;=0,0,MIN(F73,Hypothèses!$C$133)*Hypothèses!$C$132+MAX(F73-Hypothèses!$C$133,0)*Hypothèses!$C$134)</f>
        <v>0</v>
      </c>
      <c r="G74" s="66" t="n">
        <f aca="false">IF(G73&lt;=0,0,MIN(G73,Hypothèses!$C$133)*Hypothèses!$C$132+MAX(G73-Hypothèses!$C$133,0)*Hypothèses!$C$134)</f>
        <v>470.71706921954</v>
      </c>
      <c r="H74" s="66" t="n">
        <f aca="false">IF(H73&lt;=0,0,MIN(H73,Hypothèses!$C$133)*Hypothèses!$C$132+MAX(H73-Hypothèses!$C$133,0)*Hypothèses!$C$134)</f>
        <v>968.401090805506</v>
      </c>
      <c r="I74" s="66" t="n">
        <f aca="false">IF(I73&lt;=0,0,MIN(I73,Hypothèses!$C$133)*Hypothèses!$C$132+MAX(I73-Hypothèses!$C$133,0)*Hypothèses!$C$134)</f>
        <v>1481.34364076084</v>
      </c>
      <c r="J74" s="66" t="n">
        <f aca="false">IF(J73&lt;=0,0,MIN(J73,Hypothèses!$C$133)*Hypothèses!$C$132+MAX(J73-Hypothèses!$C$133,0)*Hypothèses!$C$134)</f>
        <v>2010.06656763136</v>
      </c>
      <c r="K74" s="66" t="n">
        <f aca="false">IF(K73&lt;=0,0,MIN(K73,Hypothèses!$C$133)*Hypothèses!$C$132+MAX(K73-Hypothèses!$C$133,0)*Hypothèses!$C$134)</f>
        <v>2555.11100720563</v>
      </c>
      <c r="L74" s="66" t="n">
        <f aca="false">IF(L73&lt;=0,0,MIN(L73,Hypothèses!$C$133)*Hypothèses!$C$132+MAX(L73-Hypothèses!$C$133,0)*Hypothèses!$C$134)</f>
        <v>3117.03812975162</v>
      </c>
      <c r="M74" s="66" t="n">
        <f aca="false">IF(M73&lt;=0,0,MIN(M73,Hypothèses!$C$133)*Hypothèses!$C$132+MAX(M73-Hypothèses!$C$133,0)*Hypothèses!$C$134)</f>
        <v>3696.42991696336</v>
      </c>
    </row>
    <row r="75" customFormat="false" ht="15" hidden="false" customHeight="false" outlineLevel="0" collapsed="false">
      <c r="A75" s="1"/>
      <c r="B75" s="1"/>
      <c r="C75" s="1"/>
      <c r="D75" s="1"/>
      <c r="E75" s="1"/>
      <c r="F75" s="1"/>
      <c r="G75" s="1"/>
      <c r="H75" s="1"/>
      <c r="I75" s="1"/>
      <c r="J75" s="1"/>
      <c r="K75" s="1"/>
      <c r="L75" s="1"/>
      <c r="M75" s="1"/>
    </row>
    <row r="76" customFormat="false" ht="19.5" hidden="false" customHeight="true" outlineLevel="0" collapsed="false">
      <c r="A76" s="1"/>
      <c r="B76" s="14" t="s">
        <v>324</v>
      </c>
      <c r="C76" s="15"/>
      <c r="D76" s="15"/>
      <c r="E76" s="15"/>
      <c r="F76" s="15"/>
      <c r="G76" s="15"/>
      <c r="H76" s="15"/>
      <c r="I76" s="15"/>
      <c r="J76" s="15"/>
      <c r="K76" s="15"/>
      <c r="L76" s="15"/>
      <c r="M76" s="15"/>
    </row>
    <row r="77" customFormat="false" ht="15" hidden="false" customHeight="false" outlineLevel="0" collapsed="false">
      <c r="A77" s="1"/>
      <c r="B77" s="67" t="s">
        <v>325</v>
      </c>
      <c r="C77" s="68"/>
      <c r="D77" s="69" t="n">
        <f aca="false">D59-D61-D68-D71-D74</f>
        <v>-38404.6056547538</v>
      </c>
      <c r="E77" s="69" t="n">
        <f aca="false">E59-E61-E68-E71-E74</f>
        <v>-13112.6279094014</v>
      </c>
      <c r="F77" s="69" t="n">
        <f aca="false">F59-F61-F68-F71-F74</f>
        <v>2633.8148791636</v>
      </c>
      <c r="G77" s="69" t="n">
        <f aca="false">G59-G61-G68-G71-G74</f>
        <v>3527.58251279652</v>
      </c>
      <c r="H77" s="69" t="n">
        <f aca="false">H59-H61-H68-H71-H74</f>
        <v>4376.56253675571</v>
      </c>
      <c r="I77" s="69" t="n">
        <f aca="false">I59-I61-I68-I71-I74</f>
        <v>5190.66680898392</v>
      </c>
      <c r="J77" s="69" t="n">
        <f aca="false">J59-J61-J68-J71-J74</f>
        <v>5967.49157117891</v>
      </c>
      <c r="K77" s="69" t="n">
        <f aca="false">K59-K61-K68-K71-K74</f>
        <v>6704.52491638811</v>
      </c>
      <c r="L77" s="69" t="n">
        <f aca="false">L59-L61-L68-L71-L74</f>
        <v>7399.14238373998</v>
      </c>
      <c r="M77" s="69" t="n">
        <f aca="false">M59-M61-M68-M71-M74</f>
        <v>8048.60237752237</v>
      </c>
    </row>
    <row r="78" customFormat="false" ht="15" hidden="false" customHeight="false" outlineLevel="0" collapsed="false">
      <c r="A78" s="1"/>
      <c r="B78" s="61" t="s">
        <v>326</v>
      </c>
      <c r="C78" s="59"/>
      <c r="D78" s="66" t="n">
        <f aca="false">Financement!$C$30+SUM($D77:D77)</f>
        <v>11595.3943452462</v>
      </c>
      <c r="E78" s="66" t="n">
        <f aca="false">Financement!$C$30+SUM($D77:E77)</f>
        <v>-1517.23356415525</v>
      </c>
      <c r="F78" s="66" t="n">
        <f aca="false">Financement!$C$30+SUM($D77:F77)</f>
        <v>1116.58131500836</v>
      </c>
      <c r="G78" s="66" t="n">
        <f aca="false">Financement!$C$30+SUM($D77:G77)</f>
        <v>4644.16382780486</v>
      </c>
      <c r="H78" s="66" t="n">
        <f aca="false">Financement!$C$30+SUM($D77:H77)</f>
        <v>9020.72636456057</v>
      </c>
      <c r="I78" s="66" t="n">
        <f aca="false">Financement!$C$30+SUM($D77:I77)</f>
        <v>14211.3931735445</v>
      </c>
      <c r="J78" s="66" t="n">
        <f aca="false">Financement!$C$30+SUM($D77:J77)</f>
        <v>20178.8847447234</v>
      </c>
      <c r="K78" s="66" t="n">
        <f aca="false">Financement!$C$30+SUM($D77:K77)</f>
        <v>26883.4096611115</v>
      </c>
      <c r="L78" s="66" t="n">
        <f aca="false">Financement!$C$30+SUM($D77:L77)</f>
        <v>34282.5520448515</v>
      </c>
      <c r="M78" s="66" t="n">
        <f aca="false">Financement!$C$30+SUM($D77:M77)</f>
        <v>42331.1544223739</v>
      </c>
    </row>
    <row r="79" customFormat="false" ht="15" hidden="false" customHeight="false" outlineLevel="0" collapsed="false">
      <c r="A79" s="1"/>
      <c r="B79" s="1"/>
      <c r="C79" s="1"/>
      <c r="D79" s="1"/>
      <c r="E79" s="1"/>
      <c r="F79" s="1"/>
      <c r="G79" s="1"/>
      <c r="H79" s="1"/>
      <c r="I79" s="1"/>
      <c r="J79" s="1"/>
      <c r="K79" s="1"/>
      <c r="L79" s="1"/>
      <c r="M79" s="1"/>
    </row>
    <row r="80" customFormat="false" ht="15" hidden="false" customHeight="true" outlineLevel="0" collapsed="false">
      <c r="A80" s="1"/>
      <c r="B80" s="73" t="s">
        <v>327</v>
      </c>
      <c r="C80" s="73"/>
      <c r="D80" s="73"/>
      <c r="E80" s="73"/>
      <c r="F80" s="73"/>
      <c r="G80" s="73"/>
      <c r="H80" s="73"/>
      <c r="I80" s="73"/>
      <c r="J80" s="73"/>
      <c r="K80" s="73"/>
      <c r="L80" s="73"/>
      <c r="M80" s="73"/>
    </row>
    <row r="81" customFormat="false" ht="15" hidden="false" customHeight="true" outlineLevel="0" collapsed="false">
      <c r="A81" s="1"/>
      <c r="B81" s="73" t="s">
        <v>328</v>
      </c>
      <c r="C81" s="73"/>
      <c r="D81" s="73"/>
      <c r="E81" s="73"/>
      <c r="F81" s="73"/>
      <c r="G81" s="73"/>
      <c r="H81" s="73"/>
      <c r="I81" s="73"/>
      <c r="J81" s="73"/>
      <c r="K81" s="73"/>
      <c r="L81" s="73"/>
      <c r="M81" s="73"/>
    </row>
  </sheetData>
  <mergeCells count="2">
    <mergeCell ref="B80:M80"/>
    <mergeCell ref="B81:M8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5"/>
    <col collapsed="false" customWidth="true" hidden="false" outlineLevel="0" max="13" min="4" style="0" width="12.5"/>
  </cols>
  <sheetData>
    <row r="1" customFormat="false" ht="24" hidden="false" customHeight="true" outlineLevel="0" collapsed="false">
      <c r="A1" s="1"/>
      <c r="B1" s="8" t="s">
        <v>329</v>
      </c>
      <c r="C1" s="1"/>
      <c r="D1" s="1"/>
      <c r="E1" s="1"/>
      <c r="F1" s="1"/>
      <c r="G1" s="1"/>
      <c r="H1" s="1"/>
      <c r="I1" s="1"/>
      <c r="J1" s="1"/>
      <c r="K1" s="1"/>
      <c r="L1" s="1"/>
      <c r="M1" s="1"/>
    </row>
    <row r="2" customFormat="false" ht="15" hidden="false" customHeight="false" outlineLevel="0" collapsed="false">
      <c r="A2" s="1"/>
      <c r="B2" s="9" t="s">
        <v>330</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19.5" hidden="false" customHeight="true" outlineLevel="0" collapsed="false">
      <c r="A5" s="1"/>
      <c r="B5" s="14" t="s">
        <v>331</v>
      </c>
      <c r="C5" s="15"/>
      <c r="D5" s="15"/>
      <c r="E5" s="15"/>
      <c r="F5" s="15"/>
      <c r="G5" s="15"/>
      <c r="H5" s="15"/>
      <c r="I5" s="15"/>
      <c r="J5" s="15"/>
      <c r="K5" s="15"/>
      <c r="L5" s="15"/>
      <c r="M5" s="15"/>
    </row>
    <row r="6" customFormat="false" ht="18" hidden="false" customHeight="true" outlineLevel="0" collapsed="false">
      <c r="A6" s="1"/>
      <c r="B6" s="19" t="s">
        <v>111</v>
      </c>
      <c r="C6" s="74" t="n">
        <f aca="false">Hypothèses!$C$52</f>
        <v>848778.36377724</v>
      </c>
      <c r="D6" s="21" t="s">
        <v>332</v>
      </c>
      <c r="E6" s="21"/>
      <c r="F6" s="21"/>
      <c r="G6" s="21"/>
      <c r="H6" s="21"/>
      <c r="I6" s="21"/>
      <c r="J6" s="21"/>
      <c r="K6" s="21"/>
      <c r="L6" s="21"/>
      <c r="M6" s="21"/>
    </row>
    <row r="7" customFormat="false" ht="18" hidden="false" customHeight="true" outlineLevel="0" collapsed="false">
      <c r="A7" s="1"/>
      <c r="B7" s="19" t="s">
        <v>333</v>
      </c>
      <c r="C7" s="74" t="n">
        <f aca="false">Hypothèses!$C$91</f>
        <v>84877.836377724</v>
      </c>
      <c r="D7" s="21"/>
      <c r="E7" s="21"/>
      <c r="F7" s="21"/>
      <c r="G7" s="21"/>
      <c r="H7" s="21"/>
      <c r="I7" s="21"/>
      <c r="J7" s="21"/>
      <c r="K7" s="21"/>
      <c r="L7" s="21"/>
      <c r="M7" s="21"/>
    </row>
    <row r="8" customFormat="false" ht="18" hidden="false" customHeight="true" outlineLevel="0" collapsed="false">
      <c r="A8" s="1"/>
      <c r="B8" s="75" t="s">
        <v>334</v>
      </c>
      <c r="C8" s="76" t="n">
        <f aca="false">Financement!$C$7/Hypothèses!$C$93</f>
        <v>1131704.48503632</v>
      </c>
      <c r="D8" s="77" t="s">
        <v>335</v>
      </c>
      <c r="E8" s="77"/>
      <c r="F8" s="77"/>
      <c r="G8" s="77"/>
      <c r="H8" s="77"/>
      <c r="I8" s="77"/>
      <c r="J8" s="77"/>
      <c r="K8" s="77"/>
      <c r="L8" s="77"/>
      <c r="M8" s="77"/>
    </row>
    <row r="9" customFormat="false" ht="30" hidden="false" customHeight="true" outlineLevel="0" collapsed="false">
      <c r="A9" s="1"/>
      <c r="B9" s="75" t="s">
        <v>336</v>
      </c>
      <c r="C9" s="76" t="n">
        <f aca="false">Hypothèses!$C$94*Financement!$C$6</f>
        <v>666291.015565133</v>
      </c>
      <c r="D9" s="77" t="s">
        <v>337</v>
      </c>
      <c r="E9" s="77"/>
      <c r="F9" s="77"/>
      <c r="G9" s="77"/>
      <c r="H9" s="77"/>
      <c r="I9" s="77"/>
      <c r="J9" s="77"/>
      <c r="K9" s="77"/>
      <c r="L9" s="77"/>
      <c r="M9" s="77"/>
    </row>
    <row r="10" customFormat="false" ht="18" hidden="false" customHeight="true" outlineLevel="0" collapsed="false">
      <c r="A10" s="1"/>
      <c r="B10" s="19" t="s">
        <v>338</v>
      </c>
      <c r="C10" s="52" t="n">
        <f aca="false">Financement!$C$8+Financement!$C$9</f>
        <v>1797995.50060145</v>
      </c>
      <c r="D10" s="21"/>
      <c r="E10" s="21"/>
      <c r="F10" s="21"/>
      <c r="G10" s="21"/>
      <c r="H10" s="21"/>
      <c r="I10" s="21"/>
      <c r="J10" s="21"/>
      <c r="K10" s="21"/>
      <c r="L10" s="21"/>
      <c r="M10" s="21"/>
    </row>
    <row r="11" customFormat="false" ht="30" hidden="false" customHeight="true" outlineLevel="0" collapsed="false">
      <c r="A11" s="1"/>
      <c r="B11" s="19" t="s">
        <v>339</v>
      </c>
      <c r="C11" s="52" t="n">
        <f aca="false">Financement!$C$10/Hypothèses!$C$9</f>
        <v>71919.8200240581</v>
      </c>
      <c r="D11" s="21" t="s">
        <v>340</v>
      </c>
      <c r="E11" s="21"/>
      <c r="F11" s="21"/>
      <c r="G11" s="21"/>
      <c r="H11" s="21"/>
      <c r="I11" s="21"/>
      <c r="J11" s="21"/>
      <c r="K11" s="21"/>
      <c r="L11" s="21"/>
      <c r="M11" s="21"/>
    </row>
    <row r="12" customFormat="false" ht="30" hidden="false" customHeight="true" outlineLevel="0" collapsed="false">
      <c r="A12" s="1"/>
      <c r="B12" s="19" t="s">
        <v>341</v>
      </c>
      <c r="C12" s="78" t="n">
        <f aca="false">IF(Exploitation!F50&lt;=0,0,Financement!$C$9/Exploitation!F50)</f>
        <v>4.25465957349978</v>
      </c>
      <c r="D12" s="21" t="s">
        <v>342</v>
      </c>
      <c r="E12" s="21"/>
      <c r="F12" s="21"/>
      <c r="G12" s="21"/>
      <c r="H12" s="21"/>
      <c r="I12" s="21"/>
      <c r="J12" s="21"/>
      <c r="K12" s="21"/>
      <c r="L12" s="21"/>
      <c r="M12" s="21"/>
    </row>
    <row r="13" customFormat="false" ht="15" hidden="false" customHeight="false" outlineLevel="0" collapsed="false">
      <c r="A13" s="1"/>
      <c r="B13" s="1"/>
      <c r="C13" s="1"/>
      <c r="D13" s="1"/>
      <c r="E13" s="1"/>
      <c r="F13" s="1"/>
      <c r="G13" s="1"/>
      <c r="H13" s="1"/>
      <c r="I13" s="1"/>
      <c r="J13" s="1"/>
      <c r="K13" s="1"/>
      <c r="L13" s="1"/>
      <c r="M13" s="1"/>
    </row>
    <row r="14" customFormat="false" ht="19.5" hidden="false" customHeight="true" outlineLevel="0" collapsed="false">
      <c r="A14" s="1"/>
      <c r="B14" s="14" t="s">
        <v>343</v>
      </c>
      <c r="C14" s="15"/>
      <c r="D14" s="15"/>
      <c r="E14" s="15"/>
      <c r="F14" s="15"/>
      <c r="G14" s="15"/>
      <c r="H14" s="15"/>
      <c r="I14" s="15"/>
      <c r="J14" s="15"/>
      <c r="K14" s="15"/>
      <c r="L14" s="15"/>
      <c r="M14" s="15"/>
    </row>
    <row r="15" customFormat="false" ht="18" hidden="false" customHeight="true" outlineLevel="0" collapsed="false">
      <c r="A15" s="1"/>
      <c r="B15" s="19" t="s">
        <v>344</v>
      </c>
      <c r="C15" s="52" t="n">
        <f aca="false">Financement!$C$8</f>
        <v>1131704.48503632</v>
      </c>
      <c r="D15" s="21"/>
      <c r="E15" s="21"/>
      <c r="F15" s="21"/>
      <c r="G15" s="21"/>
      <c r="H15" s="21"/>
      <c r="I15" s="21"/>
      <c r="J15" s="21"/>
      <c r="K15" s="21"/>
      <c r="L15" s="21"/>
      <c r="M15" s="21"/>
    </row>
    <row r="16" customFormat="false" ht="30" hidden="false" customHeight="true" outlineLevel="0" collapsed="false">
      <c r="A16" s="1"/>
      <c r="B16" s="19" t="s">
        <v>345</v>
      </c>
      <c r="C16" s="52" t="n">
        <f aca="false">Financement!$C$15*Hypothèses!$C$101</f>
        <v>88272.9498328329</v>
      </c>
      <c r="D16" s="21" t="s">
        <v>346</v>
      </c>
      <c r="E16" s="21"/>
      <c r="F16" s="21"/>
      <c r="G16" s="21"/>
      <c r="H16" s="21"/>
      <c r="I16" s="21"/>
      <c r="J16" s="21"/>
      <c r="K16" s="21"/>
      <c r="L16" s="21"/>
      <c r="M16" s="21"/>
    </row>
    <row r="17" customFormat="false" ht="18" hidden="false" customHeight="true" outlineLevel="0" collapsed="false">
      <c r="A17" s="1"/>
      <c r="B17" s="19" t="s">
        <v>347</v>
      </c>
      <c r="C17" s="52" t="n">
        <f aca="false">Financement!$C$15*Hypothèses!$C$108</f>
        <v>45268.1794014528</v>
      </c>
      <c r="D17" s="21" t="s">
        <v>348</v>
      </c>
      <c r="E17" s="21"/>
      <c r="F17" s="21"/>
      <c r="G17" s="21"/>
      <c r="H17" s="21"/>
      <c r="I17" s="21"/>
      <c r="J17" s="21"/>
      <c r="K17" s="21"/>
      <c r="L17" s="21"/>
      <c r="M17" s="21"/>
    </row>
    <row r="18" customFormat="false" ht="18" hidden="false" customHeight="true" outlineLevel="0" collapsed="false">
      <c r="A18" s="1"/>
      <c r="B18" s="19" t="s">
        <v>349</v>
      </c>
      <c r="C18" s="74" t="n">
        <f aca="false">Hypothèses!$C$115</f>
        <v>7000</v>
      </c>
      <c r="D18" s="21"/>
      <c r="E18" s="21"/>
      <c r="F18" s="21"/>
      <c r="G18" s="21"/>
      <c r="H18" s="21"/>
      <c r="I18" s="21"/>
      <c r="J18" s="21"/>
      <c r="K18" s="21"/>
      <c r="L18" s="21"/>
      <c r="M18" s="21"/>
    </row>
    <row r="19" customFormat="false" ht="18" hidden="false" customHeight="true" outlineLevel="0" collapsed="false">
      <c r="A19" s="1"/>
      <c r="B19" s="19" t="s">
        <v>350</v>
      </c>
      <c r="C19" s="52" t="n">
        <f aca="false">Hypothèses!$C$9*Hypothèses!$C$95</f>
        <v>100000</v>
      </c>
      <c r="D19" s="21" t="s">
        <v>351</v>
      </c>
      <c r="E19" s="21"/>
      <c r="F19" s="21"/>
      <c r="G19" s="21"/>
      <c r="H19" s="21"/>
      <c r="I19" s="21"/>
      <c r="J19" s="21"/>
      <c r="K19" s="21"/>
      <c r="L19" s="21"/>
      <c r="M19" s="21"/>
    </row>
    <row r="20" customFormat="false" ht="18" hidden="false" customHeight="true" outlineLevel="0" collapsed="false">
      <c r="A20" s="1"/>
      <c r="B20" s="19" t="s">
        <v>352</v>
      </c>
      <c r="C20" s="52" t="n">
        <f aca="false">Hypothèses!$C$117*(1-Hypothèses!$C$122)*SUM(C15:C19)</f>
        <v>10977.9649141648</v>
      </c>
      <c r="D20" s="21" t="s">
        <v>353</v>
      </c>
      <c r="E20" s="21"/>
      <c r="F20" s="21"/>
      <c r="G20" s="21"/>
      <c r="H20" s="21"/>
      <c r="I20" s="21"/>
      <c r="J20" s="21"/>
      <c r="K20" s="21"/>
      <c r="L20" s="21"/>
      <c r="M20" s="21"/>
    </row>
    <row r="21" customFormat="false" ht="18" hidden="false" customHeight="true" outlineLevel="0" collapsed="false">
      <c r="A21" s="1"/>
      <c r="B21" s="75" t="s">
        <v>354</v>
      </c>
      <c r="C21" s="76" t="n">
        <f aca="false">SUM(C15:C20)</f>
        <v>1383223.57918477</v>
      </c>
      <c r="D21" s="77"/>
      <c r="E21" s="77"/>
      <c r="F21" s="77"/>
      <c r="G21" s="77"/>
      <c r="H21" s="77"/>
      <c r="I21" s="77"/>
      <c r="J21" s="77"/>
      <c r="K21" s="77"/>
      <c r="L21" s="77"/>
      <c r="M21" s="77"/>
    </row>
    <row r="22" customFormat="false" ht="15" hidden="false" customHeight="false" outlineLevel="0" collapsed="false">
      <c r="A22" s="1"/>
      <c r="B22" s="1"/>
      <c r="C22" s="1"/>
      <c r="D22" s="1"/>
      <c r="E22" s="1"/>
      <c r="F22" s="1"/>
      <c r="G22" s="1"/>
      <c r="H22" s="1"/>
      <c r="I22" s="1"/>
      <c r="J22" s="1"/>
      <c r="K22" s="1"/>
      <c r="L22" s="1"/>
      <c r="M22" s="1"/>
    </row>
    <row r="23" customFormat="false" ht="19.5" hidden="false" customHeight="true" outlineLevel="0" collapsed="false">
      <c r="A23" s="1"/>
      <c r="B23" s="14" t="s">
        <v>355</v>
      </c>
      <c r="C23" s="15"/>
      <c r="D23" s="15"/>
      <c r="E23" s="15"/>
      <c r="F23" s="15"/>
      <c r="G23" s="15"/>
      <c r="H23" s="15"/>
      <c r="I23" s="15"/>
      <c r="J23" s="15"/>
      <c r="K23" s="15"/>
      <c r="L23" s="15"/>
      <c r="M23" s="15"/>
    </row>
    <row r="24" customFormat="false" ht="18" hidden="false" customHeight="true" outlineLevel="0" collapsed="false">
      <c r="A24" s="1"/>
      <c r="B24" s="19" t="s">
        <v>356</v>
      </c>
      <c r="C24" s="52" t="n">
        <f aca="false">Financement!$C$9</f>
        <v>666291.015565133</v>
      </c>
      <c r="D24" s="21"/>
      <c r="E24" s="21"/>
      <c r="F24" s="21"/>
      <c r="G24" s="21"/>
      <c r="H24" s="21"/>
      <c r="I24" s="21"/>
      <c r="J24" s="21"/>
      <c r="K24" s="21"/>
      <c r="L24" s="21"/>
      <c r="M24" s="21"/>
    </row>
    <row r="25" customFormat="false" ht="18" hidden="false" customHeight="true" outlineLevel="0" collapsed="false">
      <c r="A25" s="1"/>
      <c r="B25" s="19" t="s">
        <v>357</v>
      </c>
      <c r="C25" s="52" t="n">
        <f aca="false">MAX(0,MIN(Financement!$C$24,Hypothèses!$C$110)-Hypothèses!$C$109)*Hypothèses!$C$111+MAX(0,Financement!$C$24-Hypothèses!$C$110)*Hypothèses!$C$112</f>
        <v>28624.5507782567</v>
      </c>
      <c r="D25" s="21" t="s">
        <v>358</v>
      </c>
      <c r="E25" s="21"/>
      <c r="F25" s="21"/>
      <c r="G25" s="21"/>
      <c r="H25" s="21"/>
      <c r="I25" s="21"/>
      <c r="J25" s="21"/>
      <c r="K25" s="21"/>
      <c r="L25" s="21"/>
      <c r="M25" s="21"/>
    </row>
    <row r="26" customFormat="false" ht="30" hidden="false" customHeight="true" outlineLevel="0" collapsed="false">
      <c r="A26" s="1"/>
      <c r="B26" s="19" t="s">
        <v>359</v>
      </c>
      <c r="C26" s="52" t="n">
        <f aca="false">Financement!$C$24*Hypothèses!$C$113</f>
        <v>33314.5507782567</v>
      </c>
      <c r="D26" s="21" t="s">
        <v>360</v>
      </c>
      <c r="E26" s="21"/>
      <c r="F26" s="21"/>
      <c r="G26" s="21"/>
      <c r="H26" s="21"/>
      <c r="I26" s="21"/>
      <c r="J26" s="21"/>
      <c r="K26" s="21"/>
      <c r="L26" s="21"/>
      <c r="M26" s="21"/>
    </row>
    <row r="27" customFormat="false" ht="18" hidden="false" customHeight="true" outlineLevel="0" collapsed="false">
      <c r="A27" s="1"/>
      <c r="B27" s="19" t="s">
        <v>361</v>
      </c>
      <c r="C27" s="52" t="n">
        <f aca="false">Financement!$C$24*Hypothèses!$C$114</f>
        <v>16657.2753891283</v>
      </c>
      <c r="D27" s="21"/>
      <c r="E27" s="21"/>
      <c r="F27" s="21"/>
      <c r="G27" s="21"/>
      <c r="H27" s="21"/>
      <c r="I27" s="21"/>
      <c r="J27" s="21"/>
      <c r="K27" s="21"/>
      <c r="L27" s="21"/>
      <c r="M27" s="21"/>
    </row>
    <row r="28" customFormat="false" ht="18" hidden="false" customHeight="true" outlineLevel="0" collapsed="false">
      <c r="A28" s="1"/>
      <c r="B28" s="19" t="s">
        <v>362</v>
      </c>
      <c r="C28" s="74" t="n">
        <f aca="false">Hypothèses!$C$116</f>
        <v>10000</v>
      </c>
      <c r="D28" s="21"/>
      <c r="E28" s="21"/>
      <c r="F28" s="21"/>
      <c r="G28" s="21"/>
      <c r="H28" s="21"/>
      <c r="I28" s="21"/>
      <c r="J28" s="21"/>
      <c r="K28" s="21"/>
      <c r="L28" s="21"/>
      <c r="M28" s="21"/>
    </row>
    <row r="29" customFormat="false" ht="18" hidden="false" customHeight="true" outlineLevel="0" collapsed="false">
      <c r="A29" s="1"/>
      <c r="B29" s="19" t="s">
        <v>363</v>
      </c>
      <c r="C29" s="52" t="n">
        <f aca="false">Hypothèses!$C$9*Hypothèses!$C$96+Hypothèses!$C$97</f>
        <v>320000</v>
      </c>
      <c r="D29" s="21" t="s">
        <v>364</v>
      </c>
      <c r="E29" s="21"/>
      <c r="F29" s="21"/>
      <c r="G29" s="21"/>
      <c r="H29" s="21"/>
      <c r="I29" s="21"/>
      <c r="J29" s="21"/>
      <c r="K29" s="21"/>
      <c r="L29" s="21"/>
      <c r="M29" s="21"/>
    </row>
    <row r="30" customFormat="false" ht="18" hidden="false" customHeight="true" outlineLevel="0" collapsed="false">
      <c r="A30" s="1"/>
      <c r="B30" s="19" t="s">
        <v>365</v>
      </c>
      <c r="C30" s="74" t="n">
        <f aca="false">Hypothèses!$C$118</f>
        <v>50000</v>
      </c>
      <c r="D30" s="21"/>
      <c r="E30" s="21"/>
      <c r="F30" s="21"/>
      <c r="G30" s="21"/>
      <c r="H30" s="21"/>
      <c r="I30" s="21"/>
      <c r="J30" s="21"/>
      <c r="K30" s="21"/>
      <c r="L30" s="21"/>
      <c r="M30" s="21"/>
    </row>
    <row r="31" customFormat="false" ht="18" hidden="false" customHeight="true" outlineLevel="0" collapsed="false">
      <c r="A31" s="1"/>
      <c r="B31" s="19" t="s">
        <v>352</v>
      </c>
      <c r="C31" s="52" t="n">
        <f aca="false">Hypothèses!$C$117*(1-Hypothèses!$C$123)*SUM(C24:C30)</f>
        <v>7874.21174757542</v>
      </c>
      <c r="D31" s="21" t="s">
        <v>353</v>
      </c>
      <c r="E31" s="21"/>
      <c r="F31" s="21"/>
      <c r="G31" s="21"/>
      <c r="H31" s="21"/>
      <c r="I31" s="21"/>
      <c r="J31" s="21"/>
      <c r="K31" s="21"/>
      <c r="L31" s="21"/>
      <c r="M31" s="21"/>
    </row>
    <row r="32" customFormat="false" ht="18" hidden="false" customHeight="true" outlineLevel="0" collapsed="false">
      <c r="A32" s="1"/>
      <c r="B32" s="75" t="s">
        <v>366</v>
      </c>
      <c r="C32" s="76" t="n">
        <f aca="false">SUM(C24:C31)</f>
        <v>1132761.60425835</v>
      </c>
      <c r="D32" s="77"/>
      <c r="E32" s="77"/>
      <c r="F32" s="77"/>
      <c r="G32" s="77"/>
      <c r="H32" s="77"/>
      <c r="I32" s="77"/>
      <c r="J32" s="77"/>
      <c r="K32" s="77"/>
      <c r="L32" s="77"/>
      <c r="M32" s="77"/>
    </row>
    <row r="33" customFormat="false" ht="18" hidden="false" customHeight="true" outlineLevel="0" collapsed="false">
      <c r="A33" s="1"/>
      <c r="B33" s="75" t="s">
        <v>367</v>
      </c>
      <c r="C33" s="76" t="n">
        <f aca="false">Financement!$C$21+Financement!$C$32</f>
        <v>2515985.18344312</v>
      </c>
      <c r="D33" s="77"/>
      <c r="E33" s="77"/>
      <c r="F33" s="77"/>
      <c r="G33" s="77"/>
      <c r="H33" s="77"/>
      <c r="I33" s="77"/>
      <c r="J33" s="77"/>
      <c r="K33" s="77"/>
      <c r="L33" s="77"/>
      <c r="M33" s="77"/>
    </row>
    <row r="34" customFormat="false" ht="18" hidden="false" customHeight="true" outlineLevel="0" collapsed="false">
      <c r="A34" s="1"/>
      <c r="B34" s="19" t="s">
        <v>368</v>
      </c>
      <c r="C34" s="52" t="n">
        <f aca="false">Financement!$C$33/Hypothèses!$C$9</f>
        <v>100639.407337725</v>
      </c>
      <c r="D34" s="21"/>
      <c r="E34" s="21"/>
      <c r="F34" s="21"/>
      <c r="G34" s="21"/>
      <c r="H34" s="21"/>
      <c r="I34" s="21"/>
      <c r="J34" s="21"/>
      <c r="K34" s="21"/>
      <c r="L34" s="21"/>
      <c r="M34" s="21"/>
    </row>
    <row r="35" customFormat="false" ht="15" hidden="false" customHeight="false" outlineLevel="0" collapsed="false">
      <c r="A35" s="1"/>
      <c r="B35" s="1"/>
      <c r="C35" s="1"/>
      <c r="D35" s="1"/>
      <c r="E35" s="1"/>
      <c r="F35" s="1"/>
      <c r="G35" s="1"/>
      <c r="H35" s="1"/>
      <c r="I35" s="1"/>
      <c r="J35" s="1"/>
      <c r="K35" s="1"/>
      <c r="L35" s="1"/>
      <c r="M35" s="1"/>
    </row>
    <row r="36" customFormat="false" ht="19.5" hidden="false" customHeight="true" outlineLevel="0" collapsed="false">
      <c r="A36" s="1"/>
      <c r="B36" s="14" t="s">
        <v>369</v>
      </c>
      <c r="C36" s="15"/>
      <c r="D36" s="15"/>
      <c r="E36" s="15"/>
      <c r="F36" s="15"/>
      <c r="G36" s="15"/>
      <c r="H36" s="15"/>
      <c r="I36" s="15"/>
      <c r="J36" s="15"/>
      <c r="K36" s="15"/>
      <c r="L36" s="15"/>
      <c r="M36" s="15"/>
    </row>
    <row r="37" customFormat="false" ht="18" hidden="false" customHeight="true" outlineLevel="0" collapsed="false">
      <c r="A37" s="1"/>
      <c r="B37" s="19" t="s">
        <v>370</v>
      </c>
      <c r="C37" s="52" t="n">
        <f aca="false">Financement!$C$15+Financement!$C$24</f>
        <v>1797995.50060145</v>
      </c>
      <c r="D37" s="21"/>
      <c r="E37" s="21"/>
      <c r="F37" s="21"/>
      <c r="G37" s="21"/>
      <c r="H37" s="21"/>
      <c r="I37" s="21"/>
      <c r="J37" s="21"/>
      <c r="K37" s="21"/>
      <c r="L37" s="21"/>
      <c r="M37" s="21"/>
    </row>
    <row r="38" customFormat="false" ht="30" hidden="false" customHeight="true" outlineLevel="0" collapsed="false">
      <c r="A38" s="1"/>
      <c r="B38" s="19" t="s">
        <v>371</v>
      </c>
      <c r="C38" s="52" t="n">
        <f aca="false">Financement!$C$16+Financement!$C$17+Financement!$C$18+Financement!$C$25+Financement!$C$26+Financement!$C$27+Financement!$C$28</f>
        <v>229137.506179927</v>
      </c>
      <c r="D38" s="21"/>
      <c r="E38" s="21"/>
      <c r="F38" s="21"/>
      <c r="G38" s="21"/>
      <c r="H38" s="21"/>
      <c r="I38" s="21"/>
      <c r="J38" s="21"/>
      <c r="K38" s="21"/>
      <c r="L38" s="21"/>
      <c r="M38" s="21"/>
    </row>
    <row r="39" customFormat="false" ht="18" hidden="false" customHeight="true" outlineLevel="0" collapsed="false">
      <c r="A39" s="1"/>
      <c r="B39" s="19" t="s">
        <v>372</v>
      </c>
      <c r="C39" s="50" t="n">
        <f aca="false">IF(Financement!$C$37=0,0,Financement!$C$38/Financement!$C$37)</f>
        <v>0.127440533696151</v>
      </c>
      <c r="D39" s="21"/>
      <c r="E39" s="21"/>
      <c r="F39" s="21"/>
      <c r="G39" s="21"/>
      <c r="H39" s="21"/>
      <c r="I39" s="21"/>
      <c r="J39" s="21"/>
      <c r="K39" s="21"/>
      <c r="L39" s="21"/>
      <c r="M39" s="21"/>
    </row>
    <row r="40" customFormat="false" ht="18" hidden="false" customHeight="true" outlineLevel="0" collapsed="false">
      <c r="A40" s="1"/>
      <c r="B40" s="19" t="s">
        <v>373</v>
      </c>
      <c r="C40" s="52" t="n">
        <f aca="false">Financement!$C$19+Financement!$C$29</f>
        <v>420000</v>
      </c>
      <c r="D40" s="21"/>
      <c r="E40" s="21"/>
      <c r="F40" s="21"/>
      <c r="G40" s="21"/>
      <c r="H40" s="21"/>
      <c r="I40" s="21"/>
      <c r="J40" s="21"/>
      <c r="K40" s="21"/>
      <c r="L40" s="21"/>
      <c r="M40" s="21"/>
    </row>
    <row r="41" customFormat="false" ht="18" hidden="false" customHeight="true" outlineLevel="0" collapsed="false">
      <c r="A41" s="1"/>
      <c r="B41" s="19" t="s">
        <v>365</v>
      </c>
      <c r="C41" s="52" t="n">
        <f aca="false">Financement!$C$30</f>
        <v>50000</v>
      </c>
      <c r="D41" s="21"/>
      <c r="E41" s="21"/>
      <c r="F41" s="21"/>
      <c r="G41" s="21"/>
      <c r="H41" s="21"/>
      <c r="I41" s="21"/>
      <c r="J41" s="21"/>
      <c r="K41" s="21"/>
      <c r="L41" s="21"/>
      <c r="M41" s="21"/>
    </row>
    <row r="42" customFormat="false" ht="18" hidden="false" customHeight="true" outlineLevel="0" collapsed="false">
      <c r="A42" s="1"/>
      <c r="B42" s="19" t="s">
        <v>374</v>
      </c>
      <c r="C42" s="52" t="n">
        <f aca="false">Financement!$C$20+Financement!$C$31</f>
        <v>18852.1766617403</v>
      </c>
      <c r="D42" s="21"/>
      <c r="E42" s="21"/>
      <c r="F42" s="21"/>
      <c r="G42" s="21"/>
      <c r="H42" s="21"/>
      <c r="I42" s="21"/>
      <c r="J42" s="21"/>
      <c r="K42" s="21"/>
      <c r="L42" s="21"/>
      <c r="M42" s="21"/>
    </row>
    <row r="43" customFormat="false" ht="18" hidden="false" customHeight="true" outlineLevel="0" collapsed="false">
      <c r="A43" s="1"/>
      <c r="B43" s="75" t="s">
        <v>375</v>
      </c>
      <c r="C43" s="76" t="n">
        <f aca="false">SUM(C37:C38)+SUM(C40:C42)</f>
        <v>2515985.18344312</v>
      </c>
      <c r="D43" s="77" t="s">
        <v>376</v>
      </c>
      <c r="E43" s="77"/>
      <c r="F43" s="77"/>
      <c r="G43" s="77"/>
      <c r="H43" s="77"/>
      <c r="I43" s="77"/>
      <c r="J43" s="77"/>
      <c r="K43" s="77"/>
      <c r="L43" s="77"/>
      <c r="M43" s="77"/>
    </row>
    <row r="44" customFormat="false" ht="15" hidden="false" customHeight="false" outlineLevel="0" collapsed="false">
      <c r="A44" s="1"/>
      <c r="B44" s="1"/>
      <c r="C44" s="1"/>
      <c r="D44" s="1"/>
      <c r="E44" s="1"/>
      <c r="F44" s="1"/>
      <c r="G44" s="1"/>
      <c r="H44" s="1"/>
      <c r="I44" s="1"/>
      <c r="J44" s="1"/>
      <c r="K44" s="1"/>
      <c r="L44" s="1"/>
      <c r="M44" s="1"/>
    </row>
    <row r="45" customFormat="false" ht="19.5" hidden="false" customHeight="true" outlineLevel="0" collapsed="false">
      <c r="A45" s="1"/>
      <c r="B45" s="14" t="s">
        <v>377</v>
      </c>
      <c r="C45" s="15"/>
      <c r="D45" s="15"/>
      <c r="E45" s="15"/>
      <c r="F45" s="15"/>
      <c r="G45" s="15"/>
      <c r="H45" s="15"/>
      <c r="I45" s="15"/>
      <c r="J45" s="15"/>
      <c r="K45" s="15"/>
      <c r="L45" s="15"/>
      <c r="M45" s="15"/>
    </row>
    <row r="46" customFormat="false" ht="18" hidden="false" customHeight="true" outlineLevel="0" collapsed="false">
      <c r="A46" s="1"/>
      <c r="B46" s="19" t="s">
        <v>378</v>
      </c>
      <c r="C46" s="52" t="n">
        <f aca="false">Hypothèses!$C$122*Financement!$C$21</f>
        <v>276644.715836954</v>
      </c>
      <c r="D46" s="21"/>
      <c r="E46" s="21"/>
      <c r="F46" s="21"/>
      <c r="G46" s="21"/>
      <c r="H46" s="21"/>
      <c r="I46" s="21"/>
      <c r="J46" s="21"/>
      <c r="K46" s="21"/>
      <c r="L46" s="21"/>
      <c r="M46" s="21"/>
    </row>
    <row r="47" customFormat="false" ht="18" hidden="false" customHeight="true" outlineLevel="0" collapsed="false">
      <c r="A47" s="1"/>
      <c r="B47" s="75" t="s">
        <v>379</v>
      </c>
      <c r="C47" s="76" t="n">
        <f aca="false">Financement!$C$21-Financement!$C$46</f>
        <v>1106578.86334782</v>
      </c>
      <c r="D47" s="77" t="s">
        <v>380</v>
      </c>
      <c r="E47" s="77"/>
      <c r="F47" s="77"/>
      <c r="G47" s="77"/>
      <c r="H47" s="77"/>
      <c r="I47" s="77"/>
      <c r="J47" s="77"/>
      <c r="K47" s="77"/>
      <c r="L47" s="77"/>
      <c r="M47" s="77"/>
    </row>
    <row r="48" customFormat="false" ht="18" hidden="false" customHeight="true" outlineLevel="0" collapsed="false">
      <c r="A48" s="1"/>
      <c r="B48" s="19" t="s">
        <v>381</v>
      </c>
      <c r="C48" s="52" t="n">
        <f aca="false">Hypothèses!$C$123*Financement!$C$32</f>
        <v>339828.481277505</v>
      </c>
      <c r="D48" s="21"/>
      <c r="E48" s="21"/>
      <c r="F48" s="21"/>
      <c r="G48" s="21"/>
      <c r="H48" s="21"/>
      <c r="I48" s="21"/>
      <c r="J48" s="21"/>
      <c r="K48" s="21"/>
      <c r="L48" s="21"/>
      <c r="M48" s="21"/>
    </row>
    <row r="49" customFormat="false" ht="18" hidden="false" customHeight="true" outlineLevel="0" collapsed="false">
      <c r="A49" s="1"/>
      <c r="B49" s="75" t="s">
        <v>382</v>
      </c>
      <c r="C49" s="76" t="n">
        <f aca="false">Financement!$C$32-Financement!$C$48</f>
        <v>792933.122980845</v>
      </c>
      <c r="D49" s="77" t="s">
        <v>383</v>
      </c>
      <c r="E49" s="77"/>
      <c r="F49" s="77"/>
      <c r="G49" s="77"/>
      <c r="H49" s="77"/>
      <c r="I49" s="77"/>
      <c r="J49" s="77"/>
      <c r="K49" s="77"/>
      <c r="L49" s="77"/>
      <c r="M49" s="77"/>
    </row>
    <row r="50" customFormat="false" ht="18" hidden="false" customHeight="true" outlineLevel="0" collapsed="false">
      <c r="A50" s="1"/>
      <c r="B50" s="75" t="s">
        <v>384</v>
      </c>
      <c r="C50" s="76" t="n">
        <f aca="false">Financement!$C$46+Financement!$C$48</f>
        <v>616473.197114459</v>
      </c>
      <c r="D50" s="77"/>
      <c r="E50" s="77"/>
      <c r="F50" s="77"/>
      <c r="G50" s="77"/>
      <c r="H50" s="77"/>
      <c r="I50" s="77"/>
      <c r="J50" s="77"/>
      <c r="K50" s="77"/>
      <c r="L50" s="77"/>
      <c r="M50" s="77"/>
    </row>
    <row r="51" customFormat="false" ht="18" hidden="false" customHeight="true" outlineLevel="0" collapsed="false">
      <c r="A51" s="1"/>
      <c r="B51" s="75" t="s">
        <v>385</v>
      </c>
      <c r="C51" s="76" t="n">
        <f aca="false">Financement!$C$47+Financement!$C$49</f>
        <v>1899511.98632866</v>
      </c>
      <c r="D51" s="77"/>
      <c r="E51" s="77"/>
      <c r="F51" s="77"/>
      <c r="G51" s="77"/>
      <c r="H51" s="77"/>
      <c r="I51" s="77"/>
      <c r="J51" s="77"/>
      <c r="K51" s="77"/>
      <c r="L51" s="77"/>
      <c r="M51" s="77"/>
    </row>
    <row r="52" customFormat="false" ht="18" hidden="false" customHeight="true" outlineLevel="0" collapsed="false">
      <c r="A52" s="1"/>
      <c r="B52" s="19" t="s">
        <v>386</v>
      </c>
      <c r="C52" s="50" t="n">
        <f aca="false">Financement!$C$50/Financement!$C$33</f>
        <v>0.245022586448946</v>
      </c>
      <c r="D52" s="21"/>
      <c r="E52" s="21"/>
      <c r="F52" s="21"/>
      <c r="G52" s="21"/>
      <c r="H52" s="21"/>
      <c r="I52" s="21"/>
      <c r="J52" s="21"/>
      <c r="K52" s="21"/>
      <c r="L52" s="21"/>
      <c r="M52" s="21"/>
    </row>
    <row r="53" customFormat="false" ht="15" hidden="false" customHeight="false" outlineLevel="0" collapsed="false">
      <c r="A53" s="1"/>
      <c r="B53" s="1"/>
      <c r="C53" s="1"/>
      <c r="D53" s="1"/>
      <c r="E53" s="1"/>
      <c r="F53" s="1"/>
      <c r="G53" s="1"/>
      <c r="H53" s="1"/>
      <c r="I53" s="1"/>
      <c r="J53" s="1"/>
      <c r="K53" s="1"/>
      <c r="L53" s="1"/>
      <c r="M53" s="1"/>
    </row>
    <row r="54" customFormat="false" ht="19.5" hidden="false" customHeight="true" outlineLevel="0" collapsed="false">
      <c r="A54" s="1"/>
      <c r="B54" s="14" t="s">
        <v>387</v>
      </c>
      <c r="C54" s="15"/>
      <c r="D54" s="15"/>
      <c r="E54" s="15"/>
      <c r="F54" s="15"/>
      <c r="G54" s="15"/>
      <c r="H54" s="15"/>
      <c r="I54" s="15"/>
      <c r="J54" s="15"/>
      <c r="K54" s="15"/>
      <c r="L54" s="15"/>
      <c r="M54" s="15"/>
    </row>
    <row r="55" customFormat="false" ht="18" hidden="false" customHeight="true" outlineLevel="0" collapsed="false">
      <c r="A55" s="1"/>
      <c r="B55" s="19" t="s">
        <v>388</v>
      </c>
      <c r="C55" s="57" t="n">
        <f aca="false">Hypothèses!$C$124+Hypothèses!$C$125</f>
        <v>0.0401</v>
      </c>
      <c r="D55" s="21" t="s">
        <v>389</v>
      </c>
      <c r="E55" s="21"/>
      <c r="F55" s="21"/>
      <c r="G55" s="21"/>
      <c r="H55" s="21"/>
      <c r="I55" s="21"/>
      <c r="J55" s="21"/>
      <c r="K55" s="21"/>
      <c r="L55" s="21"/>
      <c r="M55" s="21"/>
    </row>
    <row r="56" customFormat="false" ht="18" hidden="false" customHeight="true" outlineLevel="0" collapsed="false">
      <c r="A56" s="1"/>
      <c r="B56" s="19" t="s">
        <v>390</v>
      </c>
      <c r="C56" s="79" t="n">
        <f aca="false">Hypothèses!$C$127</f>
        <v>20</v>
      </c>
      <c r="D56" s="21"/>
      <c r="E56" s="21"/>
      <c r="F56" s="21"/>
      <c r="G56" s="21"/>
      <c r="H56" s="21"/>
      <c r="I56" s="21"/>
      <c r="J56" s="21"/>
      <c r="K56" s="21"/>
      <c r="L56" s="21"/>
      <c r="M56" s="21"/>
    </row>
    <row r="57" customFormat="false" ht="18" hidden="false" customHeight="true" outlineLevel="0" collapsed="false">
      <c r="A57" s="1"/>
      <c r="B57" s="19" t="s">
        <v>391</v>
      </c>
      <c r="C57" s="52" t="n">
        <f aca="false">PMT(Financement!$C$55/12,Financement!$C$56*12,-Financement!$C$47)</f>
        <v>6711.48259246717</v>
      </c>
      <c r="D57" s="21" t="s">
        <v>392</v>
      </c>
      <c r="E57" s="21"/>
      <c r="F57" s="21"/>
      <c r="G57" s="21"/>
      <c r="H57" s="21"/>
      <c r="I57" s="21"/>
      <c r="J57" s="21"/>
      <c r="K57" s="21"/>
      <c r="L57" s="21"/>
      <c r="M57" s="21"/>
    </row>
    <row r="58" customFormat="false" ht="18" hidden="false" customHeight="true" outlineLevel="0" collapsed="false">
      <c r="A58" s="1"/>
      <c r="B58" s="75" t="s">
        <v>393</v>
      </c>
      <c r="C58" s="76" t="n">
        <f aca="false">Financement!$C$57*12</f>
        <v>80537.7911096061</v>
      </c>
      <c r="D58" s="77"/>
      <c r="E58" s="77"/>
      <c r="F58" s="77"/>
      <c r="G58" s="77"/>
      <c r="H58" s="77"/>
      <c r="I58" s="77"/>
      <c r="J58" s="77"/>
      <c r="K58" s="77"/>
      <c r="L58" s="77"/>
      <c r="M58" s="77"/>
    </row>
    <row r="59" customFormat="false" ht="18" hidden="false" customHeight="true" outlineLevel="0" collapsed="false">
      <c r="A59" s="1"/>
      <c r="B59" s="19" t="s">
        <v>394</v>
      </c>
      <c r="C59" s="52" t="n">
        <f aca="false">Financement!$C$58*Financement!$C$56-Financement!$C$47</f>
        <v>504176.958844305</v>
      </c>
      <c r="D59" s="21"/>
      <c r="E59" s="21"/>
      <c r="F59" s="21"/>
      <c r="G59" s="21"/>
      <c r="H59" s="21"/>
      <c r="I59" s="21"/>
      <c r="J59" s="21"/>
      <c r="K59" s="21"/>
      <c r="L59" s="21"/>
      <c r="M59" s="21"/>
    </row>
    <row r="60" customFormat="false" ht="18" hidden="false" customHeight="true" outlineLevel="0" collapsed="false">
      <c r="A60" s="1"/>
      <c r="B60" s="19" t="s">
        <v>395</v>
      </c>
      <c r="C60" s="57" t="n">
        <f aca="false">Hypothèses!$C$124+Hypothèses!$C$126</f>
        <v>0.0421</v>
      </c>
      <c r="D60" s="21" t="s">
        <v>389</v>
      </c>
      <c r="E60" s="21"/>
      <c r="F60" s="21"/>
      <c r="G60" s="21"/>
      <c r="H60" s="21"/>
      <c r="I60" s="21"/>
      <c r="J60" s="21"/>
      <c r="K60" s="21"/>
      <c r="L60" s="21"/>
      <c r="M60" s="21"/>
    </row>
    <row r="61" customFormat="false" ht="18" hidden="false" customHeight="true" outlineLevel="0" collapsed="false">
      <c r="A61" s="1"/>
      <c r="B61" s="19" t="s">
        <v>396</v>
      </c>
      <c r="C61" s="79" t="n">
        <f aca="false">Hypothèses!$C$128</f>
        <v>10</v>
      </c>
      <c r="D61" s="21"/>
      <c r="E61" s="21"/>
      <c r="F61" s="21"/>
      <c r="G61" s="21"/>
      <c r="H61" s="21"/>
      <c r="I61" s="21"/>
      <c r="J61" s="21"/>
      <c r="K61" s="21"/>
      <c r="L61" s="21"/>
      <c r="M61" s="21"/>
    </row>
    <row r="62" customFormat="false" ht="18" hidden="false" customHeight="true" outlineLevel="0" collapsed="false">
      <c r="A62" s="1"/>
      <c r="B62" s="19" t="s">
        <v>397</v>
      </c>
      <c r="C62" s="52" t="n">
        <f aca="false">PMT(Financement!$C$60/12,Financement!$C$61*12,-Financement!$C$49)</f>
        <v>8107.43825997663</v>
      </c>
      <c r="D62" s="21" t="s">
        <v>392</v>
      </c>
      <c r="E62" s="21"/>
      <c r="F62" s="21"/>
      <c r="G62" s="21"/>
      <c r="H62" s="21"/>
      <c r="I62" s="21"/>
      <c r="J62" s="21"/>
      <c r="K62" s="21"/>
      <c r="L62" s="21"/>
      <c r="M62" s="21"/>
    </row>
    <row r="63" customFormat="false" ht="18" hidden="false" customHeight="true" outlineLevel="0" collapsed="false">
      <c r="A63" s="1"/>
      <c r="B63" s="75" t="s">
        <v>398</v>
      </c>
      <c r="C63" s="76" t="n">
        <f aca="false">Financement!$C$62*12</f>
        <v>97289.2591197196</v>
      </c>
      <c r="D63" s="77"/>
      <c r="E63" s="77"/>
      <c r="F63" s="77"/>
      <c r="G63" s="77"/>
      <c r="H63" s="77"/>
      <c r="I63" s="77"/>
      <c r="J63" s="77"/>
      <c r="K63" s="77"/>
      <c r="L63" s="77"/>
      <c r="M63" s="77"/>
    </row>
    <row r="64" customFormat="false" ht="30" hidden="false" customHeight="true" outlineLevel="0" collapsed="false">
      <c r="A64" s="1"/>
      <c r="B64" s="19" t="s">
        <v>399</v>
      </c>
      <c r="C64" s="52" t="n">
        <f aca="false">Financement!$C$63*Financement!$C$61-Financement!$C$49</f>
        <v>179959.46821635</v>
      </c>
      <c r="D64" s="21"/>
      <c r="E64" s="21"/>
      <c r="F64" s="21"/>
      <c r="G64" s="21"/>
      <c r="H64" s="21"/>
      <c r="I64" s="21"/>
      <c r="J64" s="21"/>
      <c r="K64" s="21"/>
      <c r="L64" s="21"/>
      <c r="M64" s="21"/>
    </row>
    <row r="65" customFormat="false" ht="15" hidden="false" customHeight="false" outlineLevel="0" collapsed="false">
      <c r="A65" s="1"/>
      <c r="B65" s="1"/>
      <c r="C65" s="1"/>
      <c r="D65" s="1"/>
      <c r="E65" s="1"/>
      <c r="F65" s="1"/>
      <c r="G65" s="1"/>
      <c r="H65" s="1"/>
      <c r="I65" s="1"/>
      <c r="J65" s="1"/>
      <c r="K65" s="1"/>
      <c r="L65" s="1"/>
      <c r="M65" s="1"/>
    </row>
    <row r="66" customFormat="false" ht="19.5" hidden="false" customHeight="true" outlineLevel="0" collapsed="false">
      <c r="A66" s="1"/>
      <c r="B66" s="14" t="s">
        <v>400</v>
      </c>
      <c r="C66" s="15"/>
      <c r="D66" s="15"/>
      <c r="E66" s="15"/>
      <c r="F66" s="15"/>
      <c r="G66" s="15"/>
      <c r="H66" s="15"/>
      <c r="I66" s="15"/>
      <c r="J66" s="15"/>
      <c r="K66" s="15"/>
      <c r="L66" s="15"/>
      <c r="M66" s="15"/>
    </row>
    <row r="67" customFormat="false" ht="25.5" hidden="false" customHeight="true" outlineLevel="0" collapsed="false">
      <c r="A67" s="1"/>
      <c r="B67" s="16"/>
      <c r="C67" s="17"/>
      <c r="D67" s="17" t="s">
        <v>253</v>
      </c>
      <c r="E67" s="17" t="s">
        <v>254</v>
      </c>
      <c r="F67" s="17" t="s">
        <v>255</v>
      </c>
      <c r="G67" s="17" t="s">
        <v>256</v>
      </c>
      <c r="H67" s="17" t="s">
        <v>257</v>
      </c>
      <c r="I67" s="17" t="s">
        <v>258</v>
      </c>
      <c r="J67" s="17" t="s">
        <v>259</v>
      </c>
      <c r="K67" s="17" t="s">
        <v>260</v>
      </c>
      <c r="L67" s="17" t="s">
        <v>261</v>
      </c>
      <c r="M67" s="17" t="s">
        <v>262</v>
      </c>
    </row>
    <row r="68" customFormat="false" ht="15" hidden="false" customHeight="false" outlineLevel="0" collapsed="false">
      <c r="A68" s="1"/>
      <c r="B68" s="47" t="s">
        <v>263</v>
      </c>
      <c r="C68" s="1"/>
      <c r="D68" s="80" t="n">
        <v>1</v>
      </c>
      <c r="E68" s="80" t="n">
        <v>2</v>
      </c>
      <c r="F68" s="80" t="n">
        <v>3</v>
      </c>
      <c r="G68" s="80" t="n">
        <v>4</v>
      </c>
      <c r="H68" s="80" t="n">
        <v>5</v>
      </c>
      <c r="I68" s="80" t="n">
        <v>6</v>
      </c>
      <c r="J68" s="80" t="n">
        <v>7</v>
      </c>
      <c r="K68" s="80" t="n">
        <v>8</v>
      </c>
      <c r="L68" s="80" t="n">
        <v>9</v>
      </c>
      <c r="M68" s="80" t="n">
        <v>10</v>
      </c>
    </row>
    <row r="69" customFormat="false" ht="15" hidden="false" customHeight="false" outlineLevel="0" collapsed="false">
      <c r="A69" s="1"/>
      <c r="B69" s="81" t="s">
        <v>393</v>
      </c>
      <c r="C69" s="30"/>
      <c r="D69" s="82" t="n">
        <f aca="false">IF(D$68&lt;=Financement!$C$56,Financement!$C$58,0)</f>
        <v>80537.7911096061</v>
      </c>
      <c r="E69" s="82" t="n">
        <f aca="false">IF(E$68&lt;=Financement!$C$56,Financement!$C$58,0)</f>
        <v>80537.7911096061</v>
      </c>
      <c r="F69" s="82" t="n">
        <f aca="false">IF(F$68&lt;=Financement!$C$56,Financement!$C$58,0)</f>
        <v>80537.7911096061</v>
      </c>
      <c r="G69" s="82" t="n">
        <f aca="false">IF(G$68&lt;=Financement!$C$56,Financement!$C$58,0)</f>
        <v>80537.7911096061</v>
      </c>
      <c r="H69" s="82" t="n">
        <f aca="false">IF(H$68&lt;=Financement!$C$56,Financement!$C$58,0)</f>
        <v>80537.7911096061</v>
      </c>
      <c r="I69" s="82" t="n">
        <f aca="false">IF(I$68&lt;=Financement!$C$56,Financement!$C$58,0)</f>
        <v>80537.7911096061</v>
      </c>
      <c r="J69" s="82" t="n">
        <f aca="false">IF(J$68&lt;=Financement!$C$56,Financement!$C$58,0)</f>
        <v>80537.7911096061</v>
      </c>
      <c r="K69" s="82" t="n">
        <f aca="false">IF(K$68&lt;=Financement!$C$56,Financement!$C$58,0)</f>
        <v>80537.7911096061</v>
      </c>
      <c r="L69" s="82" t="n">
        <f aca="false">IF(L$68&lt;=Financement!$C$56,Financement!$C$58,0)</f>
        <v>80537.7911096061</v>
      </c>
      <c r="M69" s="82" t="n">
        <f aca="false">IF(M$68&lt;=Financement!$C$56,Financement!$C$58,0)</f>
        <v>80537.7911096061</v>
      </c>
    </row>
    <row r="70" customFormat="false" ht="15" hidden="false" customHeight="false" outlineLevel="0" collapsed="false">
      <c r="A70" s="1"/>
      <c r="B70" s="30" t="s">
        <v>401</v>
      </c>
      <c r="C70" s="30"/>
      <c r="D70" s="82" t="n">
        <f aca="false">IF(OR(D$68&gt;Financement!$C$56,Financement!$C$47&lt;=0),0,-CUMIPMT(Financement!$C$55/12,Financement!$C$56*12,Financement!$C$47,(D$68-1)*12+1,D$68*12,0))</f>
        <v>43701.6890477325</v>
      </c>
      <c r="E70" s="82" t="n">
        <f aca="false">IF(OR(E$68&gt;Financement!$C$56,Financement!$C$47&lt;=0),0,-CUMIPMT(Financement!$C$55/12,Financement!$C$56*12,Financement!$C$47,(E$68-1)*12+1,E$68*12,0))</f>
        <v>42197.1082903605</v>
      </c>
      <c r="F70" s="82" t="n">
        <f aca="false">IF(OR(F$68&gt;Financement!$C$56,Financement!$C$47&lt;=0),0,-CUMIPMT(Financement!$C$55/12,Financement!$C$56*12,Financement!$C$47,(F$68-1)*12+1,F$68*12,0))</f>
        <v>40631.0725166122</v>
      </c>
      <c r="G70" s="82" t="n">
        <f aca="false">IF(OR(G$68&gt;Financement!$C$56,Financement!$C$47&lt;=0),0,-CUMIPMT(Financement!$C$55/12,Financement!$C$56*12,Financement!$C$47,(G$68-1)*12+1,G$68*12,0))</f>
        <v>39001.0715793788</v>
      </c>
      <c r="H70" s="82" t="n">
        <f aca="false">IF(OR(H$68&gt;Financement!$C$56,Financement!$C$47&lt;=0),0,-CUMIPMT(Financement!$C$55/12,Financement!$C$56*12,Financement!$C$47,(H$68-1)*12+1,H$68*12,0))</f>
        <v>37304.4928039002</v>
      </c>
      <c r="I70" s="82" t="n">
        <f aca="false">IF(OR(I$68&gt;Financement!$C$56,Financement!$C$47&lt;=0),0,-CUMIPMT(Financement!$C$55/12,Financement!$C$56*12,Financement!$C$47,(I$68-1)*12+1,I$68*12,0))</f>
        <v>35538.6167999943</v>
      </c>
      <c r="J70" s="82" t="n">
        <f aca="false">IF(OR(J$68&gt;Financement!$C$56,Financement!$C$47&lt;=0),0,-CUMIPMT(Financement!$C$55/12,Financement!$C$56*12,Financement!$C$47,(J$68-1)*12+1,J$68*12,0))</f>
        <v>33700.6131032366</v>
      </c>
      <c r="K70" s="82" t="n">
        <f aca="false">IF(OR(K$68&gt;Financement!$C$56,Financement!$C$47&lt;=0),0,-CUMIPMT(Financement!$C$55/12,Financement!$C$56*12,Financement!$C$47,(K$68-1)*12+1,K$68*12,0))</f>
        <v>31787.5356381014</v>
      </c>
      <c r="L70" s="82" t="n">
        <f aca="false">IF(OR(L$68&gt;Financement!$C$56,Financement!$C$47&lt;=0),0,-CUMIPMT(Financement!$C$55/12,Financement!$C$56*12,Financement!$C$47,(L$68-1)*12+1,L$68*12,0))</f>
        <v>29796.3179957951</v>
      </c>
      <c r="M70" s="82" t="n">
        <f aca="false">IF(OR(M$68&gt;Financement!$C$56,Financement!$C$47&lt;=0),0,-CUMIPMT(Financement!$C$55/12,Financement!$C$56*12,Financement!$C$47,(M$68-1)*12+1,M$68*12,0))</f>
        <v>27723.7685192106</v>
      </c>
    </row>
    <row r="71" customFormat="false" ht="15" hidden="false" customHeight="false" outlineLevel="0" collapsed="false">
      <c r="A71" s="1"/>
      <c r="B71" s="30" t="s">
        <v>402</v>
      </c>
      <c r="C71" s="30"/>
      <c r="D71" s="82" t="n">
        <f aca="false">D69-D70</f>
        <v>36836.1020618735</v>
      </c>
      <c r="E71" s="82" t="n">
        <f aca="false">E69-E70</f>
        <v>38340.6828192455</v>
      </c>
      <c r="F71" s="82" t="n">
        <f aca="false">F69-F70</f>
        <v>39906.7185929939</v>
      </c>
      <c r="G71" s="82" t="n">
        <f aca="false">G69-G70</f>
        <v>41536.7195302273</v>
      </c>
      <c r="H71" s="82" t="n">
        <f aca="false">H69-H70</f>
        <v>43233.2983057059</v>
      </c>
      <c r="I71" s="82" t="n">
        <f aca="false">I69-I70</f>
        <v>44999.1743096117</v>
      </c>
      <c r="J71" s="82" t="n">
        <f aca="false">J69-J70</f>
        <v>46837.1780063695</v>
      </c>
      <c r="K71" s="82" t="n">
        <f aca="false">K69-K70</f>
        <v>48750.2554715047</v>
      </c>
      <c r="L71" s="82" t="n">
        <f aca="false">L69-L70</f>
        <v>50741.473113811</v>
      </c>
      <c r="M71" s="82" t="n">
        <f aca="false">M69-M70</f>
        <v>52814.0225903954</v>
      </c>
    </row>
    <row r="72" customFormat="false" ht="15" hidden="false" customHeight="false" outlineLevel="0" collapsed="false">
      <c r="A72" s="1"/>
      <c r="B72" s="30" t="s">
        <v>403</v>
      </c>
      <c r="C72" s="30"/>
      <c r="D72" s="82" t="n">
        <f aca="false">MAX(0,Financement!$C$47-SUM($D71:D71))</f>
        <v>1069742.76128594</v>
      </c>
      <c r="E72" s="82" t="n">
        <f aca="false">MAX(0,Financement!$C$47-SUM($D71:E71))</f>
        <v>1031402.0784667</v>
      </c>
      <c r="F72" s="82" t="n">
        <f aca="false">MAX(0,Financement!$C$47-SUM($D71:F71))</f>
        <v>991495.359873703</v>
      </c>
      <c r="G72" s="82" t="n">
        <f aca="false">MAX(0,Financement!$C$47-SUM($D71:G71))</f>
        <v>949958.640343476</v>
      </c>
      <c r="H72" s="82" t="n">
        <f aca="false">MAX(0,Financement!$C$47-SUM($D71:H71))</f>
        <v>906725.34203777</v>
      </c>
      <c r="I72" s="82" t="n">
        <f aca="false">MAX(0,Financement!$C$47-SUM($D71:I71))</f>
        <v>861726.167728158</v>
      </c>
      <c r="J72" s="82" t="n">
        <f aca="false">MAX(0,Financement!$C$47-SUM($D71:J71))</f>
        <v>814888.989721789</v>
      </c>
      <c r="K72" s="82" t="n">
        <f aca="false">MAX(0,Financement!$C$47-SUM($D71:K71))</f>
        <v>766138.734250284</v>
      </c>
      <c r="L72" s="82" t="n">
        <f aca="false">MAX(0,Financement!$C$47-SUM($D71:L71))</f>
        <v>715397.261136473</v>
      </c>
      <c r="M72" s="82" t="n">
        <f aca="false">MAX(0,Financement!$C$47-SUM($D71:M71))</f>
        <v>662583.238546078</v>
      </c>
    </row>
    <row r="73" customFormat="false" ht="15" hidden="false" customHeight="false" outlineLevel="0" collapsed="false">
      <c r="A73" s="1"/>
      <c r="B73" s="81" t="s">
        <v>398</v>
      </c>
      <c r="C73" s="30"/>
      <c r="D73" s="82" t="n">
        <f aca="false">IF(D$68&lt;=Financement!$C$61,Financement!$C$63,0)</f>
        <v>97289.2591197196</v>
      </c>
      <c r="E73" s="82" t="n">
        <f aca="false">IF(E$68&lt;=Financement!$C$61,Financement!$C$63,0)</f>
        <v>97289.2591197196</v>
      </c>
      <c r="F73" s="82" t="n">
        <f aca="false">IF(F$68&lt;=Financement!$C$61,Financement!$C$63,0)</f>
        <v>97289.2591197196</v>
      </c>
      <c r="G73" s="82" t="n">
        <f aca="false">IF(G$68&lt;=Financement!$C$61,Financement!$C$63,0)</f>
        <v>97289.2591197196</v>
      </c>
      <c r="H73" s="82" t="n">
        <f aca="false">IF(H$68&lt;=Financement!$C$61,Financement!$C$63,0)</f>
        <v>97289.2591197196</v>
      </c>
      <c r="I73" s="82" t="n">
        <f aca="false">IF(I$68&lt;=Financement!$C$61,Financement!$C$63,0)</f>
        <v>97289.2591197196</v>
      </c>
      <c r="J73" s="82" t="n">
        <f aca="false">IF(J$68&lt;=Financement!$C$61,Financement!$C$63,0)</f>
        <v>97289.2591197196</v>
      </c>
      <c r="K73" s="82" t="n">
        <f aca="false">IF(K$68&lt;=Financement!$C$61,Financement!$C$63,0)</f>
        <v>97289.2591197196</v>
      </c>
      <c r="L73" s="82" t="n">
        <f aca="false">IF(L$68&lt;=Financement!$C$61,Financement!$C$63,0)</f>
        <v>97289.2591197196</v>
      </c>
      <c r="M73" s="82" t="n">
        <f aca="false">IF(M$68&lt;=Financement!$C$61,Financement!$C$63,0)</f>
        <v>97289.2591197196</v>
      </c>
    </row>
    <row r="74" customFormat="false" ht="15" hidden="false" customHeight="false" outlineLevel="0" collapsed="false">
      <c r="A74" s="1"/>
      <c r="B74" s="30" t="s">
        <v>404</v>
      </c>
      <c r="C74" s="30"/>
      <c r="D74" s="82" t="n">
        <f aca="false">IF(OR(D$68&gt;Financement!$C$61,Financement!$C$49&lt;=0),0,-CUMIPMT(Financement!$C$60/12,Financement!$C$61*12,Financement!$C$49,(D$68-1)*12+1,D$68*12,0))</f>
        <v>32134.8147065649</v>
      </c>
      <c r="E74" s="82" t="n">
        <f aca="false">IF(OR(E$68&gt;Financement!$C$61,Financement!$C$49&lt;=0),0,-CUMIPMT(Financement!$C$60/12,Financement!$C$61*12,Financement!$C$49,(E$68-1)*12+1,E$68*12,0))</f>
        <v>29338.2602021598</v>
      </c>
      <c r="F74" s="82" t="n">
        <f aca="false">IF(OR(F$68&gt;Financement!$C$61,Financement!$C$49&lt;=0),0,-CUMIPMT(Financement!$C$60/12,Financement!$C$61*12,Financement!$C$49,(F$68-1)*12+1,F$68*12,0))</f>
        <v>26421.6721809846</v>
      </c>
      <c r="G74" s="82" t="n">
        <f aca="false">IF(OR(G$68&gt;Financement!$C$61,Financement!$C$49&lt;=0),0,-CUMIPMT(Financement!$C$60/12,Financement!$C$61*12,Financement!$C$49,(G$68-1)*12+1,G$68*12,0))</f>
        <v>23379.898572831</v>
      </c>
      <c r="H74" s="82" t="n">
        <f aca="false">IF(OR(H$68&gt;Financement!$C$61,Financement!$C$49&lt;=0),0,-CUMIPMT(Financement!$C$60/12,Financement!$C$61*12,Financement!$C$49,(H$68-1)*12+1,H$68*12,0))</f>
        <v>20207.5661706937</v>
      </c>
      <c r="I74" s="82" t="n">
        <f aca="false">IF(OR(I$68&gt;Financement!$C$61,Financement!$C$49&lt;=0),0,-CUMIPMT(Financement!$C$60/12,Financement!$C$61*12,Financement!$C$49,(I$68-1)*12+1,I$68*12,0))</f>
        <v>16899.0711391522</v>
      </c>
      <c r="J74" s="82" t="n">
        <f aca="false">IF(OR(J$68&gt;Financement!$C$61,Financement!$C$49&lt;=0),0,-CUMIPMT(Financement!$C$60/12,Financement!$C$61*12,Financement!$C$49,(J$68-1)*12+1,J$68*12,0))</f>
        <v>13448.5691153541</v>
      </c>
      <c r="K74" s="82" t="n">
        <f aca="false">IF(OR(K$68&gt;Financement!$C$61,Financement!$C$49&lt;=0),0,-CUMIPMT(Financement!$C$60/12,Financement!$C$61*12,Financement!$C$49,(K$68-1)*12+1,K$68*12,0))</f>
        <v>9849.96488511364</v>
      </c>
      <c r="L74" s="82" t="n">
        <f aca="false">IF(OR(L$68&gt;Financement!$C$61,Financement!$C$49&lt;=0),0,-CUMIPMT(Financement!$C$60/12,Financement!$C$61*12,Financement!$C$49,(L$68-1)*12+1,L$68*12,0))</f>
        <v>6096.90161588831</v>
      </c>
      <c r="M74" s="82" t="n">
        <f aca="false">IF(OR(M$68&gt;Financement!$C$61,Financement!$C$49&lt;=0),0,-CUMIPMT(Financement!$C$60/12,Financement!$C$61*12,Financement!$C$49,(M$68-1)*12+1,M$68*12,0))</f>
        <v>2182.74962761391</v>
      </c>
    </row>
    <row r="75" customFormat="false" ht="15" hidden="false" customHeight="false" outlineLevel="0" collapsed="false">
      <c r="A75" s="1"/>
      <c r="B75" s="30" t="s">
        <v>405</v>
      </c>
      <c r="C75" s="30"/>
      <c r="D75" s="82" t="n">
        <f aca="false">D73-D74</f>
        <v>65154.4444131547</v>
      </c>
      <c r="E75" s="82" t="n">
        <f aca="false">E73-E74</f>
        <v>67950.9989175598</v>
      </c>
      <c r="F75" s="82" t="n">
        <f aca="false">F73-F74</f>
        <v>70867.586938735</v>
      </c>
      <c r="G75" s="82" t="n">
        <f aca="false">G73-G74</f>
        <v>73909.3605468885</v>
      </c>
      <c r="H75" s="82" t="n">
        <f aca="false">H73-H74</f>
        <v>77081.6929490258</v>
      </c>
      <c r="I75" s="82" t="n">
        <f aca="false">I73-I74</f>
        <v>80390.1879805674</v>
      </c>
      <c r="J75" s="82" t="n">
        <f aca="false">J73-J74</f>
        <v>83840.6900043655</v>
      </c>
      <c r="K75" s="82" t="n">
        <f aca="false">K73-K74</f>
        <v>87439.2942346059</v>
      </c>
      <c r="L75" s="82" t="n">
        <f aca="false">L73-L74</f>
        <v>91192.3575038312</v>
      </c>
      <c r="M75" s="82" t="n">
        <f aca="false">M73-M74</f>
        <v>95106.5094921056</v>
      </c>
    </row>
    <row r="76" customFormat="false" ht="15" hidden="false" customHeight="false" outlineLevel="0" collapsed="false">
      <c r="A76" s="1"/>
      <c r="B76" s="30" t="s">
        <v>406</v>
      </c>
      <c r="C76" s="30"/>
      <c r="D76" s="82" t="n">
        <f aca="false">MAX(0,Financement!$C$49-SUM($D75:D75))</f>
        <v>727778.678567691</v>
      </c>
      <c r="E76" s="82" t="n">
        <f aca="false">MAX(0,Financement!$C$49-SUM($D75:E75))</f>
        <v>659827.679650131</v>
      </c>
      <c r="F76" s="82" t="n">
        <f aca="false">MAX(0,Financement!$C$49-SUM($D75:F75))</f>
        <v>588960.092711396</v>
      </c>
      <c r="G76" s="82" t="n">
        <f aca="false">MAX(0,Financement!$C$49-SUM($D75:G75))</f>
        <v>515050.732164507</v>
      </c>
      <c r="H76" s="82" t="n">
        <f aca="false">MAX(0,Financement!$C$49-SUM($D75:H75))</f>
        <v>437969.039215481</v>
      </c>
      <c r="I76" s="82" t="n">
        <f aca="false">MAX(0,Financement!$C$49-SUM($D75:I75))</f>
        <v>357578.851234914</v>
      </c>
      <c r="J76" s="82" t="n">
        <f aca="false">MAX(0,Financement!$C$49-SUM($D75:J75))</f>
        <v>273738.161230549</v>
      </c>
      <c r="K76" s="82" t="n">
        <f aca="false">MAX(0,Financement!$C$49-SUM($D75:K75))</f>
        <v>186298.866995943</v>
      </c>
      <c r="L76" s="82" t="n">
        <f aca="false">MAX(0,Financement!$C$49-SUM($D75:L75))</f>
        <v>95106.5094921113</v>
      </c>
      <c r="M76" s="82" t="n">
        <f aca="false">MAX(0,Financement!$C$49-SUM($D75:M75))</f>
        <v>5.70435076951981E-009</v>
      </c>
    </row>
    <row r="77" customFormat="false" ht="15" hidden="false" customHeight="false" outlineLevel="0" collapsed="false">
      <c r="A77" s="1"/>
      <c r="B77" s="40" t="s">
        <v>407</v>
      </c>
      <c r="C77" s="83"/>
      <c r="D77" s="84" t="n">
        <f aca="false">D69+D73</f>
        <v>177827.050229326</v>
      </c>
      <c r="E77" s="84" t="n">
        <f aca="false">E69+E73</f>
        <v>177827.050229326</v>
      </c>
      <c r="F77" s="84" t="n">
        <f aca="false">F69+F73</f>
        <v>177827.050229326</v>
      </c>
      <c r="G77" s="84" t="n">
        <f aca="false">G69+G73</f>
        <v>177827.050229326</v>
      </c>
      <c r="H77" s="84" t="n">
        <f aca="false">H69+H73</f>
        <v>177827.050229326</v>
      </c>
      <c r="I77" s="84" t="n">
        <f aca="false">I69+I73</f>
        <v>177827.050229326</v>
      </c>
      <c r="J77" s="84" t="n">
        <f aca="false">J69+J73</f>
        <v>177827.050229326</v>
      </c>
      <c r="K77" s="84" t="n">
        <f aca="false">K69+K73</f>
        <v>177827.050229326</v>
      </c>
      <c r="L77" s="84" t="n">
        <f aca="false">L69+L73</f>
        <v>177827.050229326</v>
      </c>
      <c r="M77" s="84" t="n">
        <f aca="false">M69+M73</f>
        <v>177827.050229326</v>
      </c>
    </row>
  </sheetData>
  <mergeCells count="49">
    <mergeCell ref="D6:M6"/>
    <mergeCell ref="D7:M7"/>
    <mergeCell ref="D8:M8"/>
    <mergeCell ref="D9:M9"/>
    <mergeCell ref="D10:M10"/>
    <mergeCell ref="D11:M11"/>
    <mergeCell ref="D12:M12"/>
    <mergeCell ref="D15:M15"/>
    <mergeCell ref="D16:M16"/>
    <mergeCell ref="D17:M17"/>
    <mergeCell ref="D18:M18"/>
    <mergeCell ref="D19:M19"/>
    <mergeCell ref="D20:M20"/>
    <mergeCell ref="D21:M21"/>
    <mergeCell ref="D24:M24"/>
    <mergeCell ref="D25:M25"/>
    <mergeCell ref="D26:M26"/>
    <mergeCell ref="D27:M27"/>
    <mergeCell ref="D28:M28"/>
    <mergeCell ref="D29:M29"/>
    <mergeCell ref="D30:M30"/>
    <mergeCell ref="D31:M31"/>
    <mergeCell ref="D32:M32"/>
    <mergeCell ref="D33:M33"/>
    <mergeCell ref="D34:M34"/>
    <mergeCell ref="D37:M37"/>
    <mergeCell ref="D38:M38"/>
    <mergeCell ref="D39:M39"/>
    <mergeCell ref="D40:M40"/>
    <mergeCell ref="D41:M41"/>
    <mergeCell ref="D42:M42"/>
    <mergeCell ref="D43:M43"/>
    <mergeCell ref="D46:M46"/>
    <mergeCell ref="D47:M47"/>
    <mergeCell ref="D48:M48"/>
    <mergeCell ref="D49:M49"/>
    <mergeCell ref="D50:M50"/>
    <mergeCell ref="D51:M51"/>
    <mergeCell ref="D52:M52"/>
    <mergeCell ref="D55:M55"/>
    <mergeCell ref="D56:M56"/>
    <mergeCell ref="D57:M57"/>
    <mergeCell ref="D58:M58"/>
    <mergeCell ref="D59:M59"/>
    <mergeCell ref="D60:M60"/>
    <mergeCell ref="D61:M61"/>
    <mergeCell ref="D62:M62"/>
    <mergeCell ref="D63:M63"/>
    <mergeCell ref="D64:M6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5"/>
    <col collapsed="false" customWidth="true" hidden="false" outlineLevel="0" max="13" min="4" style="0" width="12.5"/>
  </cols>
  <sheetData>
    <row r="1" customFormat="false" ht="24" hidden="false" customHeight="true" outlineLevel="0" collapsed="false">
      <c r="A1" s="1"/>
      <c r="B1" s="8" t="s">
        <v>408</v>
      </c>
      <c r="C1" s="1"/>
      <c r="D1" s="1"/>
      <c r="E1" s="1"/>
      <c r="F1" s="1"/>
      <c r="G1" s="1"/>
      <c r="H1" s="1"/>
      <c r="I1" s="1"/>
      <c r="J1" s="1"/>
      <c r="K1" s="1"/>
      <c r="L1" s="1"/>
      <c r="M1" s="1"/>
    </row>
    <row r="2" customFormat="false" ht="15" hidden="false" customHeight="false" outlineLevel="0" collapsed="false">
      <c r="A2" s="1"/>
      <c r="B2" s="9" t="s">
        <v>409</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19.5" hidden="false" customHeight="true" outlineLevel="0" collapsed="false">
      <c r="A5" s="1"/>
      <c r="B5" s="14" t="s">
        <v>410</v>
      </c>
      <c r="C5" s="15"/>
      <c r="D5" s="15"/>
      <c r="E5" s="15"/>
      <c r="F5" s="15"/>
      <c r="G5" s="15"/>
      <c r="H5" s="15"/>
      <c r="I5" s="15"/>
      <c r="J5" s="15"/>
      <c r="K5" s="15"/>
      <c r="L5" s="15"/>
      <c r="M5" s="15"/>
    </row>
    <row r="6" customFormat="false" ht="18" hidden="false" customHeight="true" outlineLevel="0" collapsed="false">
      <c r="A6" s="1"/>
      <c r="B6" s="85" t="s">
        <v>272</v>
      </c>
      <c r="C6" s="86" t="n">
        <f aca="false">Exploitation!F23</f>
        <v>883069.00967384</v>
      </c>
      <c r="D6" s="21"/>
      <c r="E6" s="21"/>
      <c r="F6" s="21"/>
      <c r="G6" s="21"/>
      <c r="H6" s="21"/>
      <c r="I6" s="21"/>
      <c r="J6" s="21"/>
      <c r="K6" s="21"/>
      <c r="L6" s="21"/>
      <c r="M6" s="21"/>
    </row>
    <row r="7" customFormat="false" ht="18" hidden="false" customHeight="true" outlineLevel="0" collapsed="false">
      <c r="A7" s="1"/>
      <c r="B7" s="19" t="s">
        <v>299</v>
      </c>
      <c r="C7" s="74" t="n">
        <f aca="false">Exploitation!F47</f>
        <v>244909.563073452</v>
      </c>
      <c r="D7" s="21"/>
      <c r="E7" s="21"/>
      <c r="F7" s="21"/>
      <c r="G7" s="21"/>
      <c r="H7" s="21"/>
      <c r="I7" s="21"/>
      <c r="J7" s="21"/>
      <c r="K7" s="21"/>
      <c r="L7" s="21"/>
      <c r="M7" s="21"/>
    </row>
    <row r="8" customFormat="false" ht="18" hidden="false" customHeight="true" outlineLevel="0" collapsed="false">
      <c r="A8" s="1"/>
      <c r="B8" s="85" t="s">
        <v>411</v>
      </c>
      <c r="C8" s="86" t="n">
        <f aca="false">Exploitation!F59</f>
        <v>236078.872976714</v>
      </c>
      <c r="D8" s="21" t="s">
        <v>412</v>
      </c>
      <c r="E8" s="21"/>
      <c r="F8" s="21"/>
      <c r="G8" s="21"/>
      <c r="H8" s="21"/>
      <c r="I8" s="21"/>
      <c r="J8" s="21"/>
      <c r="K8" s="21"/>
      <c r="L8" s="21"/>
      <c r="M8" s="21"/>
    </row>
    <row r="9" customFormat="false" ht="18" hidden="false" customHeight="true" outlineLevel="0" collapsed="false">
      <c r="A9" s="1"/>
      <c r="B9" s="19" t="s">
        <v>311</v>
      </c>
      <c r="C9" s="87" t="n">
        <f aca="false">Exploitation!F60</f>
        <v>0.267339098519502</v>
      </c>
      <c r="D9" s="21"/>
      <c r="E9" s="21"/>
      <c r="F9" s="21"/>
      <c r="G9" s="21"/>
      <c r="H9" s="21"/>
      <c r="I9" s="21"/>
      <c r="J9" s="21"/>
      <c r="K9" s="21"/>
      <c r="L9" s="21"/>
      <c r="M9" s="21"/>
    </row>
    <row r="10" customFormat="false" ht="18" hidden="false" customHeight="true" outlineLevel="0" collapsed="false">
      <c r="A10" s="1"/>
      <c r="B10" s="19" t="s">
        <v>413</v>
      </c>
      <c r="C10" s="74" t="n">
        <f aca="false">Exploitation!F50</f>
        <v>156602.662106068</v>
      </c>
      <c r="D10" s="21"/>
      <c r="E10" s="21"/>
      <c r="F10" s="21"/>
      <c r="G10" s="21"/>
      <c r="H10" s="21"/>
      <c r="I10" s="21"/>
      <c r="J10" s="21"/>
      <c r="K10" s="21"/>
      <c r="L10" s="21"/>
      <c r="M10" s="21"/>
    </row>
    <row r="11" customFormat="false" ht="30" hidden="false" customHeight="true" outlineLevel="0" collapsed="false">
      <c r="A11" s="1"/>
      <c r="B11" s="19" t="s">
        <v>303</v>
      </c>
      <c r="C11" s="87" t="n">
        <f aca="false">Exploitation!F51</f>
        <v>0.177339098519502</v>
      </c>
      <c r="D11" s="21" t="s">
        <v>414</v>
      </c>
      <c r="E11" s="21"/>
      <c r="F11" s="21"/>
      <c r="G11" s="21"/>
      <c r="H11" s="21"/>
      <c r="I11" s="21"/>
      <c r="J11" s="21"/>
      <c r="K11" s="21"/>
      <c r="L11" s="21"/>
      <c r="M11" s="21"/>
    </row>
    <row r="12" customFormat="false" ht="30" hidden="false" customHeight="true" outlineLevel="0" collapsed="false">
      <c r="A12" s="1"/>
      <c r="B12" s="85" t="s">
        <v>415</v>
      </c>
      <c r="C12" s="86" t="n">
        <f aca="false">Exploitation!F68</f>
        <v>177827.050229326</v>
      </c>
      <c r="D12" s="21"/>
      <c r="E12" s="21"/>
      <c r="F12" s="21"/>
      <c r="G12" s="21"/>
      <c r="H12" s="21"/>
      <c r="I12" s="21"/>
      <c r="J12" s="21"/>
      <c r="K12" s="21"/>
      <c r="L12" s="21"/>
      <c r="M12" s="21"/>
    </row>
    <row r="13" customFormat="false" ht="30" hidden="false" customHeight="true" outlineLevel="0" collapsed="false">
      <c r="A13" s="1"/>
      <c r="B13" s="85" t="s">
        <v>416</v>
      </c>
      <c r="C13" s="88" t="n">
        <f aca="false">IF(C12=0,0,C8/C12)</f>
        <v>1.32757571287533</v>
      </c>
      <c r="D13" s="21" t="s">
        <v>417</v>
      </c>
      <c r="E13" s="21"/>
      <c r="F13" s="21"/>
      <c r="G13" s="21"/>
      <c r="H13" s="21"/>
      <c r="I13" s="21"/>
      <c r="J13" s="21"/>
      <c r="K13" s="21"/>
      <c r="L13" s="21"/>
      <c r="M13" s="21"/>
    </row>
    <row r="14" customFormat="false" ht="30" hidden="false" customHeight="true" outlineLevel="0" collapsed="false">
      <c r="A14" s="1"/>
      <c r="B14" s="19" t="s">
        <v>418</v>
      </c>
      <c r="C14" s="78" t="n">
        <f aca="false">IF(Exploitation!F66=0,0,Exploitation!F50/Exploitation!F66)</f>
        <v>1.60966034198452</v>
      </c>
      <c r="D14" s="21"/>
      <c r="E14" s="21"/>
      <c r="F14" s="21"/>
      <c r="G14" s="21"/>
      <c r="H14" s="21"/>
      <c r="I14" s="21"/>
      <c r="J14" s="21"/>
      <c r="K14" s="21"/>
      <c r="L14" s="21"/>
      <c r="M14" s="21"/>
    </row>
    <row r="15" customFormat="false" ht="30" hidden="false" customHeight="true" outlineLevel="0" collapsed="false">
      <c r="A15" s="1"/>
      <c r="B15" s="19" t="s">
        <v>419</v>
      </c>
      <c r="C15" s="78" t="n">
        <f aca="false">IF(Exploitation!F64=0,0,Exploitation!F56/Exploitation!F64)</f>
        <v>0.986818855790126</v>
      </c>
      <c r="D15" s="21" t="s">
        <v>420</v>
      </c>
      <c r="E15" s="21"/>
      <c r="F15" s="21"/>
      <c r="G15" s="21"/>
      <c r="H15" s="21"/>
      <c r="I15" s="21"/>
      <c r="J15" s="21"/>
      <c r="K15" s="21"/>
      <c r="L15" s="21"/>
      <c r="M15" s="21"/>
    </row>
    <row r="16" customFormat="false" ht="18" hidden="false" customHeight="true" outlineLevel="0" collapsed="false">
      <c r="A16" s="1"/>
      <c r="B16" s="19" t="s">
        <v>421</v>
      </c>
      <c r="C16" s="87" t="n">
        <f aca="false">Exploitation!F14</f>
        <v>0.550737735911639</v>
      </c>
      <c r="D16" s="21"/>
      <c r="E16" s="21"/>
      <c r="F16" s="21"/>
      <c r="G16" s="21"/>
      <c r="H16" s="21"/>
      <c r="I16" s="21"/>
      <c r="J16" s="21"/>
      <c r="K16" s="21"/>
      <c r="L16" s="21"/>
      <c r="M16" s="21"/>
    </row>
    <row r="17" customFormat="false" ht="30" hidden="false" customHeight="true" outlineLevel="0" collapsed="false">
      <c r="A17" s="1"/>
      <c r="B17" s="19" t="s">
        <v>422</v>
      </c>
      <c r="C17" s="52" t="n">
        <f aca="false">Exploitation!F21*(1-Hypothèses!$C$66-Hypothèses!$C$69)</f>
        <v>254689.92</v>
      </c>
      <c r="D17" s="21" t="s">
        <v>423</v>
      </c>
      <c r="E17" s="21"/>
      <c r="F17" s="21"/>
      <c r="G17" s="21"/>
      <c r="H17" s="21"/>
      <c r="I17" s="21"/>
      <c r="J17" s="21"/>
      <c r="K17" s="21"/>
      <c r="L17" s="21"/>
      <c r="M17" s="21"/>
    </row>
    <row r="18" customFormat="false" ht="30" hidden="false" customHeight="true" outlineLevel="0" collapsed="false">
      <c r="A18" s="1"/>
      <c r="B18" s="19" t="s">
        <v>424</v>
      </c>
      <c r="C18" s="52" t="n">
        <f aca="false">((Exploitation!F23-Exploitation!F21)-(Exploitation!F31-Exploitation!F21*(Hypothèses!$C$66+Hypothèses!$C$69)))/C16</f>
        <v>805572.27837</v>
      </c>
      <c r="D18" s="21" t="s">
        <v>425</v>
      </c>
      <c r="E18" s="21"/>
      <c r="F18" s="21"/>
      <c r="G18" s="21"/>
      <c r="H18" s="21"/>
      <c r="I18" s="21"/>
      <c r="J18" s="21"/>
      <c r="K18" s="21"/>
      <c r="L18" s="21"/>
      <c r="M18" s="21"/>
    </row>
    <row r="19" customFormat="false" ht="18" hidden="false" customHeight="true" outlineLevel="0" collapsed="false">
      <c r="A19" s="1"/>
      <c r="B19" s="85" t="s">
        <v>426</v>
      </c>
      <c r="C19" s="89" t="n">
        <f aca="false">IF(C18&lt;=0,0,(Exploitation!F44+Exploitation!F55-C17)/C18)</f>
        <v>0.257680391070532</v>
      </c>
      <c r="D19" s="21" t="s">
        <v>427</v>
      </c>
      <c r="E19" s="21"/>
      <c r="F19" s="21"/>
      <c r="G19" s="21"/>
      <c r="H19" s="21"/>
      <c r="I19" s="21"/>
      <c r="J19" s="21"/>
      <c r="K19" s="21"/>
      <c r="L19" s="21"/>
      <c r="M19" s="21"/>
    </row>
    <row r="20" customFormat="false" ht="18" hidden="false" customHeight="true" outlineLevel="0" collapsed="false">
      <c r="A20" s="1"/>
      <c r="B20" s="85" t="s">
        <v>428</v>
      </c>
      <c r="C20" s="89" t="n">
        <f aca="false">IF(C18&lt;=0,0,(Exploitation!F44+Exploitation!F55-C17+C12)/C18)</f>
        <v>0.478426629495148</v>
      </c>
      <c r="D20" s="21" t="s">
        <v>429</v>
      </c>
      <c r="E20" s="21"/>
      <c r="F20" s="21"/>
      <c r="G20" s="21"/>
      <c r="H20" s="21"/>
      <c r="I20" s="21"/>
      <c r="J20" s="21"/>
      <c r="K20" s="21"/>
      <c r="L20" s="21"/>
      <c r="M20" s="21"/>
    </row>
    <row r="21" customFormat="false" ht="30" hidden="false" customHeight="true" outlineLevel="0" collapsed="false">
      <c r="A21" s="1"/>
      <c r="B21" s="19" t="s">
        <v>367</v>
      </c>
      <c r="C21" s="74" t="n">
        <f aca="false">Financement!$C$33</f>
        <v>2515985.18344312</v>
      </c>
      <c r="D21" s="21" t="s">
        <v>430</v>
      </c>
      <c r="E21" s="21"/>
      <c r="F21" s="21"/>
      <c r="G21" s="21"/>
      <c r="H21" s="21"/>
      <c r="I21" s="21"/>
      <c r="J21" s="21"/>
      <c r="K21" s="21"/>
      <c r="L21" s="21"/>
      <c r="M21" s="21"/>
    </row>
    <row r="22" customFormat="false" ht="30" hidden="false" customHeight="true" outlineLevel="0" collapsed="false">
      <c r="A22" s="1"/>
      <c r="B22" s="19" t="s">
        <v>431</v>
      </c>
      <c r="C22" s="74" t="n">
        <f aca="false">Financement!$C$38</f>
        <v>229137.506179927</v>
      </c>
      <c r="D22" s="21"/>
      <c r="E22" s="21"/>
      <c r="F22" s="21"/>
      <c r="G22" s="21"/>
      <c r="H22" s="21"/>
      <c r="I22" s="21"/>
      <c r="J22" s="21"/>
      <c r="K22" s="21"/>
      <c r="L22" s="21"/>
      <c r="M22" s="21"/>
    </row>
    <row r="23" customFormat="false" ht="18" hidden="false" customHeight="true" outlineLevel="0" collapsed="false">
      <c r="A23" s="1"/>
      <c r="B23" s="19" t="s">
        <v>384</v>
      </c>
      <c r="C23" s="74" t="n">
        <f aca="false">Financement!$C$50</f>
        <v>616473.197114459</v>
      </c>
      <c r="D23" s="21"/>
      <c r="E23" s="21"/>
      <c r="F23" s="21"/>
      <c r="G23" s="21"/>
      <c r="H23" s="21"/>
      <c r="I23" s="21"/>
      <c r="J23" s="21"/>
      <c r="K23" s="21"/>
      <c r="L23" s="21"/>
      <c r="M23" s="21"/>
    </row>
    <row r="24" customFormat="false" ht="18" hidden="false" customHeight="true" outlineLevel="0" collapsed="false">
      <c r="A24" s="1"/>
      <c r="B24" s="19" t="s">
        <v>339</v>
      </c>
      <c r="C24" s="74" t="n">
        <f aca="false">Financement!$C$11</f>
        <v>71919.8200240581</v>
      </c>
      <c r="D24" s="21" t="s">
        <v>432</v>
      </c>
      <c r="E24" s="21"/>
      <c r="F24" s="21"/>
      <c r="G24" s="21"/>
      <c r="H24" s="21"/>
      <c r="I24" s="21"/>
      <c r="J24" s="21"/>
      <c r="K24" s="21"/>
      <c r="L24" s="21"/>
      <c r="M24" s="21"/>
    </row>
    <row r="25" customFormat="false" ht="15" hidden="false" customHeight="false" outlineLevel="0" collapsed="false">
      <c r="A25" s="1"/>
      <c r="B25" s="1"/>
      <c r="C25" s="1"/>
      <c r="D25" s="1"/>
      <c r="E25" s="1"/>
      <c r="F25" s="1"/>
      <c r="G25" s="1"/>
      <c r="H25" s="1"/>
      <c r="I25" s="1"/>
      <c r="J25" s="1"/>
      <c r="K25" s="1"/>
      <c r="L25" s="1"/>
      <c r="M25" s="1"/>
    </row>
    <row r="26" customFormat="false" ht="19.5" hidden="false" customHeight="true" outlineLevel="0" collapsed="false">
      <c r="A26" s="1"/>
      <c r="B26" s="14" t="s">
        <v>433</v>
      </c>
      <c r="C26" s="15"/>
      <c r="D26" s="15"/>
      <c r="E26" s="15"/>
      <c r="F26" s="15"/>
      <c r="G26" s="15"/>
      <c r="H26" s="15"/>
      <c r="I26" s="15"/>
      <c r="J26" s="15"/>
      <c r="K26" s="15"/>
      <c r="L26" s="15"/>
      <c r="M26" s="15"/>
    </row>
    <row r="27" customFormat="false" ht="25.5" hidden="false" customHeight="true" outlineLevel="0" collapsed="false">
      <c r="A27" s="1"/>
      <c r="B27" s="16"/>
      <c r="C27" s="17"/>
      <c r="D27" s="17" t="s">
        <v>253</v>
      </c>
      <c r="E27" s="17" t="s">
        <v>254</v>
      </c>
      <c r="F27" s="17" t="s">
        <v>255</v>
      </c>
      <c r="G27" s="17" t="s">
        <v>256</v>
      </c>
      <c r="H27" s="17" t="s">
        <v>257</v>
      </c>
      <c r="I27" s="17" t="s">
        <v>258</v>
      </c>
      <c r="J27" s="17" t="s">
        <v>259</v>
      </c>
      <c r="K27" s="17" t="s">
        <v>260</v>
      </c>
      <c r="L27" s="17" t="s">
        <v>261</v>
      </c>
      <c r="M27" s="17" t="s">
        <v>262</v>
      </c>
    </row>
    <row r="28" customFormat="false" ht="15" hidden="false" customHeight="false" outlineLevel="0" collapsed="false">
      <c r="A28" s="1"/>
      <c r="B28" s="61" t="s">
        <v>272</v>
      </c>
      <c r="C28" s="30"/>
      <c r="D28" s="66" t="n">
        <f aca="false">Exploitation!D23</f>
        <v>780876.094675061</v>
      </c>
      <c r="E28" s="66" t="n">
        <f aca="false">Exploitation!E23</f>
        <v>839781.313121201</v>
      </c>
      <c r="F28" s="66" t="n">
        <f aca="false">Exploitation!F23</f>
        <v>883069.00967384</v>
      </c>
      <c r="G28" s="66" t="n">
        <f aca="false">Exploitation!G23</f>
        <v>900730.389867317</v>
      </c>
      <c r="H28" s="66" t="n">
        <f aca="false">Exploitation!H23</f>
        <v>918744.997664663</v>
      </c>
      <c r="I28" s="66" t="n">
        <f aca="false">Exploitation!I23</f>
        <v>937119.897617957</v>
      </c>
      <c r="J28" s="66" t="n">
        <f aca="false">Exploitation!J23</f>
        <v>955862.295570316</v>
      </c>
      <c r="K28" s="66" t="n">
        <f aca="false">Exploitation!K23</f>
        <v>974979.541481722</v>
      </c>
      <c r="L28" s="66" t="n">
        <f aca="false">Exploitation!L23</f>
        <v>994479.132311357</v>
      </c>
      <c r="M28" s="66" t="n">
        <f aca="false">Exploitation!M23</f>
        <v>1014368.71495758</v>
      </c>
    </row>
    <row r="29" customFormat="false" ht="15" hidden="false" customHeight="false" outlineLevel="0" collapsed="false">
      <c r="A29" s="1"/>
      <c r="B29" s="61" t="s">
        <v>310</v>
      </c>
      <c r="C29" s="30"/>
      <c r="D29" s="66" t="n">
        <f aca="false">Exploitation!D59</f>
        <v>175975.009699526</v>
      </c>
      <c r="E29" s="66" t="n">
        <f aca="false">Exploitation!E59</f>
        <v>212322.195127393</v>
      </c>
      <c r="F29" s="66" t="n">
        <f aca="false">Exploitation!F59</f>
        <v>236078.872976714</v>
      </c>
      <c r="G29" s="66" t="n">
        <f aca="false">Exploitation!G59</f>
        <v>239324.209321083</v>
      </c>
      <c r="H29" s="66" t="n">
        <f aca="false">Exploitation!H59</f>
        <v>242597.54636446</v>
      </c>
      <c r="I29" s="66" t="n">
        <f aca="false">Exploitation!I59</f>
        <v>245898.521470129</v>
      </c>
      <c r="J29" s="66" t="n">
        <f aca="false">Exploitation!J59</f>
        <v>249226.741682371</v>
      </c>
      <c r="K29" s="66" t="n">
        <f aca="false">Exploitation!K59</f>
        <v>252581.782543428</v>
      </c>
      <c r="L29" s="66" t="n">
        <f aca="false">Exploitation!L59</f>
        <v>255963.186872392</v>
      </c>
      <c r="M29" s="66" t="n">
        <f aca="false">Exploitation!M59</f>
        <v>259370.463504887</v>
      </c>
    </row>
    <row r="30" customFormat="false" ht="15" hidden="false" customHeight="false" outlineLevel="0" collapsed="false">
      <c r="A30" s="1"/>
      <c r="B30" s="61" t="s">
        <v>317</v>
      </c>
      <c r="C30" s="30"/>
      <c r="D30" s="66" t="n">
        <f aca="false">Exploitation!D68</f>
        <v>177827.050229326</v>
      </c>
      <c r="E30" s="66" t="n">
        <f aca="false">Exploitation!E68</f>
        <v>177827.050229326</v>
      </c>
      <c r="F30" s="66" t="n">
        <f aca="false">Exploitation!F68</f>
        <v>177827.050229326</v>
      </c>
      <c r="G30" s="66" t="n">
        <f aca="false">Exploitation!G68</f>
        <v>177827.050229326</v>
      </c>
      <c r="H30" s="66" t="n">
        <f aca="false">Exploitation!H68</f>
        <v>177827.050229326</v>
      </c>
      <c r="I30" s="66" t="n">
        <f aca="false">Exploitation!I68</f>
        <v>177827.050229326</v>
      </c>
      <c r="J30" s="66" t="n">
        <f aca="false">Exploitation!J68</f>
        <v>177827.050229326</v>
      </c>
      <c r="K30" s="66" t="n">
        <f aca="false">Exploitation!K68</f>
        <v>177827.050229326</v>
      </c>
      <c r="L30" s="66" t="n">
        <f aca="false">Exploitation!L68</f>
        <v>177827.050229326</v>
      </c>
      <c r="M30" s="66" t="n">
        <f aca="false">Exploitation!M68</f>
        <v>177827.050229326</v>
      </c>
    </row>
    <row r="31" customFormat="false" ht="15" hidden="false" customHeight="false" outlineLevel="0" collapsed="false">
      <c r="A31" s="1"/>
      <c r="B31" s="81" t="s">
        <v>434</v>
      </c>
      <c r="C31" s="30"/>
      <c r="D31" s="90" t="n">
        <f aca="false">IF(D30=0,0,D29/D30)</f>
        <v>0.989585158571704</v>
      </c>
      <c r="E31" s="90" t="n">
        <f aca="false">IF(E30=0,0,E29/E30)</f>
        <v>1.19398142663662</v>
      </c>
      <c r="F31" s="90" t="n">
        <f aca="false">IF(F30=0,0,F29/F30)</f>
        <v>1.32757571287533</v>
      </c>
      <c r="G31" s="90" t="n">
        <f aca="false">IF(G30=0,0,G29/G30)</f>
        <v>1.34582567169871</v>
      </c>
      <c r="H31" s="90" t="n">
        <f aca="false">IF(H30=0,0,H29/H30)</f>
        <v>1.36423309081271</v>
      </c>
      <c r="I31" s="90" t="n">
        <f aca="false">IF(I30=0,0,I29/I30)</f>
        <v>1.38279593095099</v>
      </c>
      <c r="J31" s="90" t="n">
        <f aca="false">IF(J30=0,0,J29/J30)</f>
        <v>1.40151198235009</v>
      </c>
      <c r="K31" s="90" t="n">
        <f aca="false">IF(K30=0,0,K29/K30)</f>
        <v>1.42037885809667</v>
      </c>
      <c r="L31" s="90" t="n">
        <f aca="false">IF(L30=0,0,L29/L30)</f>
        <v>1.43939398726067</v>
      </c>
      <c r="M31" s="90" t="n">
        <f aca="false">IF(M30=0,0,M29/M30)</f>
        <v>1.458554607808</v>
      </c>
    </row>
    <row r="32" customFormat="false" ht="15" hidden="false" customHeight="false" outlineLevel="0" collapsed="false">
      <c r="A32" s="1"/>
      <c r="B32" s="61" t="s">
        <v>435</v>
      </c>
      <c r="C32" s="30"/>
      <c r="D32" s="91" t="n">
        <f aca="false">IF(Exploitation!D66=0,0,Exploitation!D50/Exploitation!D66)</f>
        <v>1.02359662166848</v>
      </c>
      <c r="E32" s="91" t="n">
        <f aca="false">IF(Exploitation!E66=0,0,Exploitation!E50/Exploitation!E66)</f>
        <v>1.3814920840054</v>
      </c>
      <c r="F32" s="91" t="n">
        <f aca="false">IF(Exploitation!F66=0,0,Exploitation!F50/Exploitation!F66)</f>
        <v>1.60966034198452</v>
      </c>
      <c r="G32" s="91" t="n">
        <f aca="false">IF(Exploitation!G66=0,0,Exploitation!G50/Exploitation!G66)</f>
        <v>1.6266798171243</v>
      </c>
      <c r="H32" s="91" t="n">
        <f aca="false">IF(Exploitation!H66=0,0,Exploitation!H50/Exploitation!H66)</f>
        <v>1.64366033847438</v>
      </c>
      <c r="I32" s="91" t="n">
        <f aca="false">IF(Exploitation!I66=0,0,Exploitation!I50/Exploitation!I66)</f>
        <v>1.66059164337666</v>
      </c>
      <c r="J32" s="91" t="n">
        <f aca="false">IF(Exploitation!J66=0,0,Exploitation!J50/Exploitation!J66)</f>
        <v>1.6774630268303</v>
      </c>
      <c r="K32" s="91" t="n">
        <f aca="false">IF(Exploitation!K66=0,0,Exploitation!K50/Exploitation!K66)</f>
        <v>1.69426332671767</v>
      </c>
      <c r="L32" s="91" t="n">
        <f aca="false">IF(Exploitation!L66=0,0,Exploitation!L50/Exploitation!L66)</f>
        <v>1.71098090858655</v>
      </c>
      <c r="M32" s="91" t="n">
        <f aca="false">IF(Exploitation!M66=0,0,Exploitation!M50/Exploitation!M66)</f>
        <v>1.72760364997617</v>
      </c>
    </row>
    <row r="33" customFormat="false" ht="15" hidden="false" customHeight="false" outlineLevel="0" collapsed="false">
      <c r="A33" s="1"/>
      <c r="B33" s="61" t="s">
        <v>436</v>
      </c>
      <c r="C33" s="30"/>
      <c r="D33" s="91" t="n">
        <f aca="false">IF(Exploitation!D64=0,0,Exploitation!D56/Exploitation!D64)</f>
        <v>0.948499476922458</v>
      </c>
      <c r="E33" s="91" t="n">
        <f aca="false">IF(Exploitation!E64=0,0,Exploitation!E56/Exploitation!E64)</f>
        <v>0.967469466460907</v>
      </c>
      <c r="F33" s="91" t="n">
        <f aca="false">IF(Exploitation!F64=0,0,Exploitation!F56/Exploitation!F64)</f>
        <v>0.986818855790126</v>
      </c>
      <c r="G33" s="91" t="n">
        <f aca="false">IF(Exploitation!G64=0,0,Exploitation!G56/Exploitation!G64)</f>
        <v>1.00655523290593</v>
      </c>
      <c r="H33" s="91" t="n">
        <f aca="false">IF(Exploitation!H64=0,0,Exploitation!H56/Exploitation!H64)</f>
        <v>1.02668633756405</v>
      </c>
      <c r="I33" s="91" t="n">
        <f aca="false">IF(Exploitation!I64=0,0,Exploitation!I56/Exploitation!I64)</f>
        <v>1.04722006431533</v>
      </c>
      <c r="J33" s="91" t="n">
        <f aca="false">IF(Exploitation!J64=0,0,Exploitation!J56/Exploitation!J64)</f>
        <v>1.06816446560163</v>
      </c>
      <c r="K33" s="91" t="n">
        <f aca="false">IF(Exploitation!K64=0,0,Exploitation!K56/Exploitation!K64)</f>
        <v>1.08952775491367</v>
      </c>
      <c r="L33" s="91" t="n">
        <f aca="false">IF(Exploitation!L64=0,0,Exploitation!L56/Exploitation!L64)</f>
        <v>1.11131831001194</v>
      </c>
      <c r="M33" s="91" t="n">
        <f aca="false">IF(Exploitation!M64=0,0,Exploitation!M56/Exploitation!M64)</f>
        <v>1.13354467621218</v>
      </c>
    </row>
    <row r="34" customFormat="false" ht="15" hidden="false" customHeight="false" outlineLevel="0" collapsed="false">
      <c r="A34" s="1"/>
      <c r="B34" s="61" t="s">
        <v>437</v>
      </c>
      <c r="C34" s="30"/>
      <c r="D34" s="66" t="n">
        <f aca="false">Exploitation!D59-Exploitation!D61-Exploitation!D71-Exploitation!D74</f>
        <v>139422.444574572</v>
      </c>
      <c r="E34" s="66" t="n">
        <f aca="false">Exploitation!E59-Exploitation!E61-Exploitation!E71-Exploitation!E74</f>
        <v>164714.422319924</v>
      </c>
      <c r="F34" s="66" t="n">
        <f aca="false">Exploitation!F59-Exploitation!F61-Exploitation!F71-Exploitation!F74</f>
        <v>180460.865108489</v>
      </c>
      <c r="G34" s="66" t="n">
        <f aca="false">Exploitation!G59-Exploitation!G61-Exploitation!G71-Exploitation!G74</f>
        <v>181354.632742122</v>
      </c>
      <c r="H34" s="66" t="n">
        <f aca="false">Exploitation!H59-Exploitation!H61-Exploitation!H71-Exploitation!H74</f>
        <v>182203.612766081</v>
      </c>
      <c r="I34" s="66" t="n">
        <f aca="false">Exploitation!I59-Exploitation!I61-Exploitation!I71-Exploitation!I74</f>
        <v>183017.71703831</v>
      </c>
      <c r="J34" s="66" t="n">
        <f aca="false">Exploitation!J59-Exploitation!J61-Exploitation!J71-Exploitation!J74</f>
        <v>183794.541800505</v>
      </c>
      <c r="K34" s="66" t="n">
        <f aca="false">Exploitation!K59-Exploitation!K61-Exploitation!K71-Exploitation!K74</f>
        <v>184531.575145714</v>
      </c>
      <c r="L34" s="66" t="n">
        <f aca="false">Exploitation!L59-Exploitation!L61-Exploitation!L71-Exploitation!L74</f>
        <v>185226.192613066</v>
      </c>
      <c r="M34" s="66" t="n">
        <f aca="false">Exploitation!M59-Exploitation!M61-Exploitation!M71-Exploitation!M74</f>
        <v>185875.652606848</v>
      </c>
    </row>
    <row r="35" customFormat="false" ht="15" hidden="false" customHeight="false" outlineLevel="0" collapsed="false">
      <c r="A35" s="1"/>
      <c r="B35" s="61" t="s">
        <v>438</v>
      </c>
      <c r="C35" s="30"/>
      <c r="D35" s="92" t="str">
        <f aca="false">IF(D30=0,"sans dette",IF(D31&lt;1,"non couverte",IF(D31&lt;Hypothèses!$C$139,"tendue","couverte")))</f>
        <v>non couverte</v>
      </c>
      <c r="E35" s="92" t="str">
        <f aca="false">IF(E30=0,"sans dette",IF(E31&lt;1,"non couverte",IF(E31&lt;Hypothèses!$C$139,"tendue","couverte")))</f>
        <v>tendue</v>
      </c>
      <c r="F35" s="92" t="str">
        <f aca="false">IF(F30=0,"sans dette",IF(F31&lt;1,"non couverte",IF(F31&lt;Hypothèses!$C$139,"tendue","couverte")))</f>
        <v>couverte</v>
      </c>
      <c r="G35" s="92" t="str">
        <f aca="false">IF(G30=0,"sans dette",IF(G31&lt;1,"non couverte",IF(G31&lt;Hypothèses!$C$139,"tendue","couverte")))</f>
        <v>couverte</v>
      </c>
      <c r="H35" s="92" t="str">
        <f aca="false">IF(H30=0,"sans dette",IF(H31&lt;1,"non couverte",IF(H31&lt;Hypothèses!$C$139,"tendue","couverte")))</f>
        <v>couverte</v>
      </c>
      <c r="I35" s="92" t="str">
        <f aca="false">IF(I30=0,"sans dette",IF(I31&lt;1,"non couverte",IF(I31&lt;Hypothèses!$C$139,"tendue","couverte")))</f>
        <v>couverte</v>
      </c>
      <c r="J35" s="92" t="str">
        <f aca="false">IF(J30=0,"sans dette",IF(J31&lt;1,"non couverte",IF(J31&lt;Hypothèses!$C$139,"tendue","couverte")))</f>
        <v>couverte</v>
      </c>
      <c r="K35" s="92" t="str">
        <f aca="false">IF(K30=0,"sans dette",IF(K31&lt;1,"non couverte",IF(K31&lt;Hypothèses!$C$139,"tendue","couverte")))</f>
        <v>couverte</v>
      </c>
      <c r="L35" s="92" t="str">
        <f aca="false">IF(L30=0,"sans dette",IF(L31&lt;1,"non couverte",IF(L31&lt;Hypothèses!$C$139,"tendue","couverte")))</f>
        <v>couverte</v>
      </c>
      <c r="M35" s="92" t="str">
        <f aca="false">IF(M30=0,"sans dette",IF(M31&lt;1,"non couverte",IF(M31&lt;Hypothèses!$C$139,"tendue","couverte")))</f>
        <v>couverte</v>
      </c>
    </row>
    <row r="36" customFormat="false" ht="15" hidden="false" customHeight="false" outlineLevel="0" collapsed="false">
      <c r="A36" s="1"/>
      <c r="B36" s="81" t="s">
        <v>439</v>
      </c>
      <c r="C36" s="30"/>
      <c r="D36" s="93" t="n">
        <f aca="false">Exploitation!D77</f>
        <v>-38404.6056547538</v>
      </c>
      <c r="E36" s="93" t="n">
        <f aca="false">Exploitation!E77</f>
        <v>-13112.6279094014</v>
      </c>
      <c r="F36" s="93" t="n">
        <f aca="false">Exploitation!F77</f>
        <v>2633.8148791636</v>
      </c>
      <c r="G36" s="93" t="n">
        <f aca="false">Exploitation!G77</f>
        <v>3527.58251279652</v>
      </c>
      <c r="H36" s="93" t="n">
        <f aca="false">Exploitation!H77</f>
        <v>4376.56253675571</v>
      </c>
      <c r="I36" s="93" t="n">
        <f aca="false">Exploitation!I77</f>
        <v>5190.66680898392</v>
      </c>
      <c r="J36" s="93" t="n">
        <f aca="false">Exploitation!J77</f>
        <v>5967.49157117891</v>
      </c>
      <c r="K36" s="93" t="n">
        <f aca="false">Exploitation!K77</f>
        <v>6704.52491638811</v>
      </c>
      <c r="L36" s="93" t="n">
        <f aca="false">Exploitation!L77</f>
        <v>7399.14238373998</v>
      </c>
      <c r="M36" s="93" t="n">
        <f aca="false">Exploitation!M77</f>
        <v>8048.60237752237</v>
      </c>
    </row>
    <row r="37" customFormat="false" ht="15" hidden="false" customHeight="false" outlineLevel="0" collapsed="false">
      <c r="A37" s="1"/>
      <c r="B37" s="61" t="s">
        <v>440</v>
      </c>
      <c r="C37" s="30"/>
      <c r="D37" s="66" t="n">
        <f aca="false">SUM($D36:D36)</f>
        <v>-38404.6056547538</v>
      </c>
      <c r="E37" s="66" t="n">
        <f aca="false">SUM($D36:E36)</f>
        <v>-51517.2335641553</v>
      </c>
      <c r="F37" s="66" t="n">
        <f aca="false">SUM($D36:F36)</f>
        <v>-48883.4186849916</v>
      </c>
      <c r="G37" s="66" t="n">
        <f aca="false">SUM($D36:G36)</f>
        <v>-45355.8361721951</v>
      </c>
      <c r="H37" s="66" t="n">
        <f aca="false">SUM($D36:H36)</f>
        <v>-40979.2736354394</v>
      </c>
      <c r="I37" s="66" t="n">
        <f aca="false">SUM($D36:I36)</f>
        <v>-35788.6068264555</v>
      </c>
      <c r="J37" s="66" t="n">
        <f aca="false">SUM($D36:J36)</f>
        <v>-29821.1152552766</v>
      </c>
      <c r="K37" s="66" t="n">
        <f aca="false">SUM($D36:K36)</f>
        <v>-23116.5903388885</v>
      </c>
      <c r="L37" s="66" t="n">
        <f aca="false">SUM($D36:L36)</f>
        <v>-15717.4479551485</v>
      </c>
      <c r="M37" s="66" t="n">
        <f aca="false">SUM($D36:M36)</f>
        <v>-7668.84557762613</v>
      </c>
    </row>
    <row r="38" customFormat="false" ht="15" hidden="false" customHeight="false" outlineLevel="0" collapsed="false">
      <c r="A38" s="1"/>
      <c r="B38" s="61" t="s">
        <v>326</v>
      </c>
      <c r="C38" s="30"/>
      <c r="D38" s="66" t="n">
        <f aca="false">Exploitation!D78</f>
        <v>11595.3943452462</v>
      </c>
      <c r="E38" s="66" t="n">
        <f aca="false">Exploitation!E78</f>
        <v>-1517.23356415525</v>
      </c>
      <c r="F38" s="66" t="n">
        <f aca="false">Exploitation!F78</f>
        <v>1116.58131500836</v>
      </c>
      <c r="G38" s="66" t="n">
        <f aca="false">Exploitation!G78</f>
        <v>4644.16382780486</v>
      </c>
      <c r="H38" s="66" t="n">
        <f aca="false">Exploitation!H78</f>
        <v>9020.72636456057</v>
      </c>
      <c r="I38" s="66" t="n">
        <f aca="false">Exploitation!I78</f>
        <v>14211.3931735445</v>
      </c>
      <c r="J38" s="66" t="n">
        <f aca="false">Exploitation!J78</f>
        <v>20178.8847447234</v>
      </c>
      <c r="K38" s="66" t="n">
        <f aca="false">Exploitation!K78</f>
        <v>26883.4096611115</v>
      </c>
      <c r="L38" s="66" t="n">
        <f aca="false">Exploitation!L78</f>
        <v>34282.5520448515</v>
      </c>
      <c r="M38" s="66" t="n">
        <f aca="false">Exploitation!M78</f>
        <v>42331.1544223739</v>
      </c>
    </row>
    <row r="39" customFormat="false" ht="15" hidden="false" customHeight="false" outlineLevel="0" collapsed="false">
      <c r="A39" s="1"/>
      <c r="B39" s="1"/>
      <c r="C39" s="1"/>
      <c r="D39" s="1"/>
      <c r="E39" s="1"/>
      <c r="F39" s="1"/>
      <c r="G39" s="1"/>
      <c r="H39" s="1"/>
      <c r="I39" s="1"/>
      <c r="J39" s="1"/>
      <c r="K39" s="1"/>
      <c r="L39" s="1"/>
      <c r="M39" s="1"/>
    </row>
    <row r="40" customFormat="false" ht="19.5" hidden="false" customHeight="true" outlineLevel="0" collapsed="false">
      <c r="A40" s="1"/>
      <c r="B40" s="14" t="s">
        <v>441</v>
      </c>
      <c r="C40" s="15"/>
      <c r="D40" s="15"/>
      <c r="E40" s="15"/>
      <c r="F40" s="15"/>
      <c r="G40" s="15"/>
      <c r="H40" s="15"/>
      <c r="I40" s="15"/>
      <c r="J40" s="15"/>
      <c r="K40" s="15"/>
      <c r="L40" s="15"/>
      <c r="M40" s="15"/>
    </row>
    <row r="41" customFormat="false" ht="18" hidden="false" customHeight="true" outlineLevel="0" collapsed="false">
      <c r="A41" s="1"/>
      <c r="B41" s="19" t="s">
        <v>442</v>
      </c>
      <c r="C41" s="52" t="n">
        <f aca="false">AVERAGE($D$34:$M$34)</f>
        <v>177060.165671563</v>
      </c>
      <c r="D41" s="21"/>
      <c r="E41" s="21"/>
      <c r="F41" s="21"/>
      <c r="G41" s="21"/>
      <c r="H41" s="21"/>
      <c r="I41" s="21"/>
      <c r="J41" s="21"/>
      <c r="K41" s="21"/>
      <c r="L41" s="21"/>
      <c r="M41" s="21"/>
    </row>
    <row r="42" customFormat="false" ht="18" hidden="false" customHeight="true" outlineLevel="0" collapsed="false">
      <c r="A42" s="1"/>
      <c r="B42" s="85" t="s">
        <v>443</v>
      </c>
      <c r="C42" s="94" t="n">
        <f aca="false">IF(C41&lt;=0,0,C21/C41)</f>
        <v>14.20977538285</v>
      </c>
      <c r="D42" s="21" t="s">
        <v>444</v>
      </c>
      <c r="E42" s="21"/>
      <c r="F42" s="21"/>
      <c r="G42" s="21"/>
      <c r="H42" s="21"/>
      <c r="I42" s="21"/>
      <c r="J42" s="21"/>
      <c r="K42" s="21"/>
      <c r="L42" s="21"/>
      <c r="M42" s="21"/>
    </row>
    <row r="43" customFormat="false" ht="18" hidden="false" customHeight="true" outlineLevel="0" collapsed="false">
      <c r="A43" s="1"/>
      <c r="B43" s="19" t="s">
        <v>445</v>
      </c>
      <c r="C43" s="52" t="n">
        <f aca="false">AVERAGE($D$36:$M$36)</f>
        <v>-766.884557762613</v>
      </c>
      <c r="D43" s="21"/>
      <c r="E43" s="21"/>
      <c r="F43" s="21"/>
      <c r="G43" s="21"/>
      <c r="H43" s="21"/>
      <c r="I43" s="21"/>
      <c r="J43" s="21"/>
      <c r="K43" s="21"/>
      <c r="L43" s="21"/>
      <c r="M43" s="21"/>
    </row>
    <row r="44" customFormat="false" ht="18" hidden="false" customHeight="true" outlineLevel="0" collapsed="false">
      <c r="A44" s="1"/>
      <c r="B44" s="19" t="s">
        <v>446</v>
      </c>
      <c r="C44" s="50" t="n">
        <f aca="false">IF(C23=0,0,C43/C23)</f>
        <v>-0.00124398686163841</v>
      </c>
      <c r="D44" s="21" t="s">
        <v>447</v>
      </c>
      <c r="E44" s="21"/>
      <c r="F44" s="21"/>
      <c r="G44" s="21"/>
      <c r="H44" s="21"/>
      <c r="I44" s="21"/>
      <c r="J44" s="21"/>
      <c r="K44" s="21"/>
      <c r="L44" s="21"/>
      <c r="M44" s="21"/>
    </row>
    <row r="45" customFormat="false" ht="30" hidden="false" customHeight="true" outlineLevel="0" collapsed="false">
      <c r="A45" s="1"/>
      <c r="B45" s="85" t="s">
        <v>448</v>
      </c>
      <c r="C45" s="95" t="str">
        <f aca="false">IF(MAX($D$37:$M$37)&lt;C23,"au-delà de 10 ans",COUNTIF($D$37:$M$37,"&lt;"&amp;C23)+1)</f>
        <v>au-delà de 10 ans</v>
      </c>
      <c r="D45" s="21" t="s">
        <v>449</v>
      </c>
      <c r="E45" s="21"/>
      <c r="F45" s="21"/>
      <c r="G45" s="21"/>
      <c r="H45" s="21"/>
      <c r="I45" s="21"/>
      <c r="J45" s="21"/>
      <c r="K45" s="21"/>
      <c r="L45" s="21"/>
      <c r="M45" s="21"/>
    </row>
    <row r="46" customFormat="false" ht="15" hidden="false" customHeight="false" outlineLevel="0" collapsed="false">
      <c r="A46" s="1"/>
      <c r="B46" s="1"/>
      <c r="C46" s="1"/>
      <c r="D46" s="1"/>
      <c r="E46" s="1"/>
      <c r="F46" s="1"/>
      <c r="G46" s="1"/>
      <c r="H46" s="1"/>
      <c r="I46" s="1"/>
      <c r="J46" s="1"/>
      <c r="K46" s="1"/>
      <c r="L46" s="1"/>
      <c r="M46" s="1"/>
    </row>
    <row r="47" customFormat="false" ht="30" hidden="false" customHeight="true" outlineLevel="0" collapsed="false">
      <c r="A47" s="1"/>
      <c r="B47" s="73" t="s">
        <v>450</v>
      </c>
      <c r="C47" s="73"/>
      <c r="D47" s="73"/>
      <c r="E47" s="73"/>
      <c r="F47" s="73"/>
      <c r="G47" s="73"/>
      <c r="H47" s="73"/>
      <c r="I47" s="73"/>
      <c r="J47" s="73"/>
      <c r="K47" s="73"/>
      <c r="L47" s="73"/>
      <c r="M47" s="73"/>
    </row>
  </sheetData>
  <mergeCells count="25">
    <mergeCell ref="D6:M6"/>
    <mergeCell ref="D7:M7"/>
    <mergeCell ref="D8:M8"/>
    <mergeCell ref="D9:M9"/>
    <mergeCell ref="D10:M10"/>
    <mergeCell ref="D11:M11"/>
    <mergeCell ref="D12:M12"/>
    <mergeCell ref="D13:M13"/>
    <mergeCell ref="D14:M14"/>
    <mergeCell ref="D15:M15"/>
    <mergeCell ref="D16:M16"/>
    <mergeCell ref="D17:M17"/>
    <mergeCell ref="D18:M18"/>
    <mergeCell ref="D19:M19"/>
    <mergeCell ref="D20:M20"/>
    <mergeCell ref="D21:M21"/>
    <mergeCell ref="D22:M22"/>
    <mergeCell ref="D23:M23"/>
    <mergeCell ref="D24:M24"/>
    <mergeCell ref="D41:M41"/>
    <mergeCell ref="D42:M42"/>
    <mergeCell ref="D43:M43"/>
    <mergeCell ref="D44:M44"/>
    <mergeCell ref="D45:M45"/>
    <mergeCell ref="B47:M4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K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10" min="3" style="0" width="14"/>
    <col collapsed="false" customWidth="true" hidden="false" outlineLevel="0" max="11" min="11" style="0" width="16"/>
  </cols>
  <sheetData>
    <row r="1" customFormat="false" ht="24" hidden="false" customHeight="true" outlineLevel="0" collapsed="false">
      <c r="A1" s="1"/>
      <c r="B1" s="8" t="s">
        <v>451</v>
      </c>
      <c r="C1" s="1"/>
      <c r="D1" s="1"/>
      <c r="E1" s="1"/>
      <c r="F1" s="1"/>
      <c r="G1" s="1"/>
      <c r="H1" s="1"/>
      <c r="I1" s="1"/>
      <c r="J1" s="1"/>
      <c r="K1" s="1"/>
    </row>
    <row r="2" customFormat="false" ht="15" hidden="false" customHeight="false" outlineLevel="0" collapsed="false">
      <c r="A2" s="1"/>
      <c r="B2" s="9" t="s">
        <v>452</v>
      </c>
      <c r="C2" s="1"/>
      <c r="D2" s="1"/>
      <c r="E2" s="1"/>
      <c r="F2" s="1"/>
      <c r="G2" s="1"/>
      <c r="H2" s="1"/>
      <c r="I2" s="1"/>
      <c r="J2" s="1"/>
      <c r="K2" s="1"/>
    </row>
    <row r="3" customFormat="false" ht="15" hidden="false" customHeight="false" outlineLevel="0" collapsed="false">
      <c r="A3" s="1"/>
      <c r="B3" s="10" t="s">
        <v>23</v>
      </c>
      <c r="C3" s="1"/>
      <c r="D3" s="1"/>
      <c r="E3" s="1"/>
      <c r="F3" s="1"/>
      <c r="G3" s="1"/>
      <c r="H3" s="1"/>
      <c r="I3" s="1"/>
      <c r="J3" s="1"/>
      <c r="K3" s="1"/>
    </row>
    <row r="4" customFormat="false" ht="15" hidden="false" customHeight="false" outlineLevel="0" collapsed="false">
      <c r="A4" s="1"/>
      <c r="B4" s="1"/>
      <c r="C4" s="1"/>
      <c r="D4" s="1"/>
      <c r="E4" s="1"/>
      <c r="F4" s="1"/>
      <c r="G4" s="1"/>
      <c r="H4" s="1"/>
      <c r="I4" s="1"/>
      <c r="J4" s="1"/>
      <c r="K4" s="1"/>
    </row>
    <row r="5" customFormat="false" ht="19.5" hidden="false" customHeight="true" outlineLevel="0" collapsed="false">
      <c r="A5" s="1"/>
      <c r="B5" s="14" t="s">
        <v>453</v>
      </c>
      <c r="C5" s="15"/>
      <c r="D5" s="15"/>
      <c r="E5" s="15"/>
      <c r="F5" s="15"/>
      <c r="G5" s="15"/>
      <c r="H5" s="15"/>
      <c r="I5" s="15"/>
      <c r="J5" s="15"/>
      <c r="K5" s="15"/>
    </row>
    <row r="6" customFormat="false" ht="15" hidden="false" customHeight="false" outlineLevel="0" collapsed="false">
      <c r="A6" s="1"/>
      <c r="B6" s="96" t="s">
        <v>454</v>
      </c>
      <c r="C6" s="97" t="s">
        <v>455</v>
      </c>
      <c r="D6" s="97"/>
      <c r="E6" s="97"/>
      <c r="F6" s="97"/>
      <c r="G6" s="97"/>
      <c r="H6" s="97"/>
      <c r="I6" s="97"/>
      <c r="J6" s="97"/>
      <c r="K6" s="96" t="s">
        <v>456</v>
      </c>
    </row>
    <row r="7" customFormat="false" ht="55.5" hidden="false" customHeight="true" outlineLevel="0" collapsed="false">
      <c r="A7" s="1"/>
      <c r="B7" s="98" t="s">
        <v>457</v>
      </c>
      <c r="C7" s="99" t="s">
        <v>458</v>
      </c>
      <c r="D7" s="99"/>
      <c r="E7" s="99"/>
      <c r="F7" s="99"/>
      <c r="G7" s="99"/>
      <c r="H7" s="99"/>
      <c r="I7" s="99"/>
      <c r="J7" s="99"/>
      <c r="K7" s="100" t="s">
        <v>459</v>
      </c>
    </row>
    <row r="8" customFormat="false" ht="43.5" hidden="false" customHeight="true" outlineLevel="0" collapsed="false">
      <c r="A8" s="1"/>
      <c r="B8" s="98" t="s">
        <v>460</v>
      </c>
      <c r="C8" s="99" t="s">
        <v>461</v>
      </c>
      <c r="D8" s="99"/>
      <c r="E8" s="99"/>
      <c r="F8" s="99"/>
      <c r="G8" s="99"/>
      <c r="H8" s="99"/>
      <c r="I8" s="99"/>
      <c r="J8" s="99"/>
      <c r="K8" s="100" t="s">
        <v>462</v>
      </c>
    </row>
    <row r="9" customFormat="false" ht="43.5" hidden="false" customHeight="true" outlineLevel="0" collapsed="false">
      <c r="A9" s="1"/>
      <c r="B9" s="98" t="s">
        <v>463</v>
      </c>
      <c r="C9" s="99" t="s">
        <v>464</v>
      </c>
      <c r="D9" s="99"/>
      <c r="E9" s="99"/>
      <c r="F9" s="99"/>
      <c r="G9" s="99"/>
      <c r="H9" s="99"/>
      <c r="I9" s="99"/>
      <c r="J9" s="99"/>
      <c r="K9" s="100" t="s">
        <v>465</v>
      </c>
    </row>
    <row r="10" customFormat="false" ht="43.5" hidden="false" customHeight="true" outlineLevel="0" collapsed="false">
      <c r="A10" s="1"/>
      <c r="B10" s="98" t="s">
        <v>466</v>
      </c>
      <c r="C10" s="99" t="s">
        <v>467</v>
      </c>
      <c r="D10" s="99"/>
      <c r="E10" s="99"/>
      <c r="F10" s="99"/>
      <c r="G10" s="99"/>
      <c r="H10" s="99"/>
      <c r="I10" s="99"/>
      <c r="J10" s="99"/>
      <c r="K10" s="100" t="s">
        <v>465</v>
      </c>
    </row>
    <row r="11" customFormat="false" ht="30.75" hidden="false" customHeight="true" outlineLevel="0" collapsed="false">
      <c r="A11" s="1"/>
      <c r="B11" s="98" t="s">
        <v>468</v>
      </c>
      <c r="C11" s="99" t="s">
        <v>469</v>
      </c>
      <c r="D11" s="99"/>
      <c r="E11" s="99"/>
      <c r="F11" s="99"/>
      <c r="G11" s="99"/>
      <c r="H11" s="99"/>
      <c r="I11" s="99"/>
      <c r="J11" s="99"/>
      <c r="K11" s="100" t="s">
        <v>470</v>
      </c>
    </row>
    <row r="12" customFormat="false" ht="43.5" hidden="false" customHeight="true" outlineLevel="0" collapsed="false">
      <c r="A12" s="1"/>
      <c r="B12" s="98" t="s">
        <v>471</v>
      </c>
      <c r="C12" s="99" t="s">
        <v>472</v>
      </c>
      <c r="D12" s="99"/>
      <c r="E12" s="99"/>
      <c r="F12" s="99"/>
      <c r="G12" s="99"/>
      <c r="H12" s="99"/>
      <c r="I12" s="99"/>
      <c r="J12" s="99"/>
      <c r="K12" s="100" t="s">
        <v>473</v>
      </c>
    </row>
    <row r="13" customFormat="false" ht="43.5" hidden="false" customHeight="true" outlineLevel="0" collapsed="false">
      <c r="A13" s="1"/>
      <c r="B13" s="98" t="s">
        <v>474</v>
      </c>
      <c r="C13" s="99" t="s">
        <v>475</v>
      </c>
      <c r="D13" s="99"/>
      <c r="E13" s="99"/>
      <c r="F13" s="99"/>
      <c r="G13" s="99"/>
      <c r="H13" s="99"/>
      <c r="I13" s="99"/>
      <c r="J13" s="99"/>
      <c r="K13" s="100" t="s">
        <v>476</v>
      </c>
    </row>
    <row r="14" customFormat="false" ht="15" hidden="false" customHeight="false" outlineLevel="0" collapsed="false">
      <c r="A14" s="1"/>
      <c r="B14" s="1"/>
      <c r="C14" s="1"/>
      <c r="D14" s="1"/>
      <c r="E14" s="1"/>
      <c r="F14" s="1"/>
      <c r="G14" s="1"/>
      <c r="H14" s="1"/>
      <c r="I14" s="1"/>
      <c r="J14" s="1"/>
      <c r="K14" s="1"/>
    </row>
    <row r="15" customFormat="false" ht="19.5" hidden="false" customHeight="true" outlineLevel="0" collapsed="false">
      <c r="A15" s="1"/>
      <c r="B15" s="14" t="s">
        <v>477</v>
      </c>
      <c r="C15" s="15"/>
      <c r="D15" s="15"/>
      <c r="E15" s="15"/>
      <c r="F15" s="15"/>
      <c r="G15" s="15"/>
      <c r="H15" s="15"/>
      <c r="I15" s="15"/>
      <c r="J15" s="15"/>
      <c r="K15" s="15"/>
    </row>
    <row r="16" customFormat="false" ht="15" hidden="false" customHeight="false" outlineLevel="0" collapsed="false">
      <c r="A16" s="1"/>
      <c r="B16" s="96" t="s">
        <v>454</v>
      </c>
      <c r="C16" s="97" t="s">
        <v>455</v>
      </c>
      <c r="D16" s="97"/>
      <c r="E16" s="97"/>
      <c r="F16" s="97"/>
      <c r="G16" s="97"/>
      <c r="H16" s="97"/>
      <c r="I16" s="97"/>
      <c r="J16" s="97"/>
      <c r="K16" s="96" t="s">
        <v>456</v>
      </c>
    </row>
    <row r="17" customFormat="false" ht="55.5" hidden="false" customHeight="true" outlineLevel="0" collapsed="false">
      <c r="A17" s="1"/>
      <c r="B17" s="98" t="s">
        <v>478</v>
      </c>
      <c r="C17" s="99" t="s">
        <v>479</v>
      </c>
      <c r="D17" s="99"/>
      <c r="E17" s="99"/>
      <c r="F17" s="99"/>
      <c r="G17" s="99"/>
      <c r="H17" s="99"/>
      <c r="I17" s="99"/>
      <c r="J17" s="99"/>
      <c r="K17" s="100" t="s">
        <v>480</v>
      </c>
    </row>
    <row r="18" customFormat="false" ht="43.5" hidden="false" customHeight="true" outlineLevel="0" collapsed="false">
      <c r="A18" s="1"/>
      <c r="B18" s="98" t="s">
        <v>481</v>
      </c>
      <c r="C18" s="99" t="s">
        <v>482</v>
      </c>
      <c r="D18" s="99"/>
      <c r="E18" s="99"/>
      <c r="F18" s="99"/>
      <c r="G18" s="99"/>
      <c r="H18" s="99"/>
      <c r="I18" s="99"/>
      <c r="J18" s="99"/>
      <c r="K18" s="100" t="s">
        <v>483</v>
      </c>
    </row>
    <row r="19" customFormat="false" ht="30.75" hidden="false" customHeight="true" outlineLevel="0" collapsed="false">
      <c r="A19" s="1"/>
      <c r="B19" s="98" t="s">
        <v>484</v>
      </c>
      <c r="C19" s="99" t="s">
        <v>485</v>
      </c>
      <c r="D19" s="99"/>
      <c r="E19" s="99"/>
      <c r="F19" s="99"/>
      <c r="G19" s="99"/>
      <c r="H19" s="99"/>
      <c r="I19" s="99"/>
      <c r="J19" s="99"/>
      <c r="K19" s="100" t="s">
        <v>486</v>
      </c>
    </row>
    <row r="20" customFormat="false" ht="18" hidden="false" customHeight="true" outlineLevel="0" collapsed="false">
      <c r="A20" s="1"/>
      <c r="B20" s="98" t="s">
        <v>487</v>
      </c>
      <c r="C20" s="99" t="s">
        <v>488</v>
      </c>
      <c r="D20" s="99"/>
      <c r="E20" s="99"/>
      <c r="F20" s="99"/>
      <c r="G20" s="99"/>
      <c r="H20" s="99"/>
      <c r="I20" s="99"/>
      <c r="J20" s="99"/>
      <c r="K20" s="100" t="s">
        <v>489</v>
      </c>
    </row>
    <row r="21" customFormat="false" ht="30.75" hidden="false" customHeight="true" outlineLevel="0" collapsed="false">
      <c r="A21" s="1"/>
      <c r="B21" s="98" t="s">
        <v>490</v>
      </c>
      <c r="C21" s="99" t="s">
        <v>491</v>
      </c>
      <c r="D21" s="99"/>
      <c r="E21" s="99"/>
      <c r="F21" s="99"/>
      <c r="G21" s="99"/>
      <c r="H21" s="99"/>
      <c r="I21" s="99"/>
      <c r="J21" s="99"/>
      <c r="K21" s="100" t="s">
        <v>492</v>
      </c>
    </row>
    <row r="22" customFormat="false" ht="30.75" hidden="false" customHeight="true" outlineLevel="0" collapsed="false">
      <c r="A22" s="1"/>
      <c r="B22" s="98" t="s">
        <v>493</v>
      </c>
      <c r="C22" s="99" t="s">
        <v>494</v>
      </c>
      <c r="D22" s="99"/>
      <c r="E22" s="99"/>
      <c r="F22" s="99"/>
      <c r="G22" s="99"/>
      <c r="H22" s="99"/>
      <c r="I22" s="99"/>
      <c r="J22" s="99"/>
      <c r="K22" s="100" t="s">
        <v>495</v>
      </c>
    </row>
    <row r="23" customFormat="false" ht="15" hidden="false" customHeight="false" outlineLevel="0" collapsed="false">
      <c r="A23" s="1"/>
      <c r="B23" s="1"/>
      <c r="C23" s="1"/>
      <c r="D23" s="1"/>
      <c r="E23" s="1"/>
      <c r="F23" s="1"/>
      <c r="G23" s="1"/>
      <c r="H23" s="1"/>
      <c r="I23" s="1"/>
      <c r="J23" s="1"/>
      <c r="K23" s="1"/>
    </row>
    <row r="24" customFormat="false" ht="19.5" hidden="false" customHeight="true" outlineLevel="0" collapsed="false">
      <c r="A24" s="1"/>
      <c r="B24" s="14" t="s">
        <v>496</v>
      </c>
      <c r="C24" s="15"/>
      <c r="D24" s="15"/>
      <c r="E24" s="15"/>
      <c r="F24" s="15"/>
      <c r="G24" s="15"/>
      <c r="H24" s="15"/>
      <c r="I24" s="15"/>
      <c r="J24" s="15"/>
      <c r="K24" s="15"/>
    </row>
    <row r="25" customFormat="false" ht="15" hidden="false" customHeight="false" outlineLevel="0" collapsed="false">
      <c r="A25" s="1"/>
      <c r="B25" s="96" t="s">
        <v>454</v>
      </c>
      <c r="C25" s="97" t="s">
        <v>455</v>
      </c>
      <c r="D25" s="97"/>
      <c r="E25" s="97"/>
      <c r="F25" s="97"/>
      <c r="G25" s="97"/>
      <c r="H25" s="97"/>
      <c r="I25" s="97"/>
      <c r="J25" s="97"/>
      <c r="K25" s="96" t="s">
        <v>456</v>
      </c>
    </row>
    <row r="26" customFormat="false" ht="43.5" hidden="false" customHeight="true" outlineLevel="0" collapsed="false">
      <c r="A26" s="1"/>
      <c r="B26" s="98" t="s">
        <v>497</v>
      </c>
      <c r="C26" s="99" t="s">
        <v>498</v>
      </c>
      <c r="D26" s="99"/>
      <c r="E26" s="99"/>
      <c r="F26" s="99"/>
      <c r="G26" s="99"/>
      <c r="H26" s="99"/>
      <c r="I26" s="99"/>
      <c r="J26" s="99"/>
      <c r="K26" s="100" t="s">
        <v>499</v>
      </c>
    </row>
    <row r="27" customFormat="false" ht="30.75" hidden="false" customHeight="true" outlineLevel="0" collapsed="false">
      <c r="A27" s="1"/>
      <c r="B27" s="98" t="s">
        <v>500</v>
      </c>
      <c r="C27" s="99" t="s">
        <v>501</v>
      </c>
      <c r="D27" s="99"/>
      <c r="E27" s="99"/>
      <c r="F27" s="99"/>
      <c r="G27" s="99"/>
      <c r="H27" s="99"/>
      <c r="I27" s="99"/>
      <c r="J27" s="99"/>
      <c r="K27" s="100" t="s">
        <v>499</v>
      </c>
    </row>
    <row r="28" customFormat="false" ht="30.75" hidden="false" customHeight="true" outlineLevel="0" collapsed="false">
      <c r="A28" s="1"/>
      <c r="B28" s="98" t="s">
        <v>502</v>
      </c>
      <c r="C28" s="99" t="s">
        <v>503</v>
      </c>
      <c r="D28" s="99"/>
      <c r="E28" s="99"/>
      <c r="F28" s="99"/>
      <c r="G28" s="99"/>
      <c r="H28" s="99"/>
      <c r="I28" s="99"/>
      <c r="J28" s="99"/>
      <c r="K28" s="100" t="s">
        <v>504</v>
      </c>
    </row>
    <row r="29" customFormat="false" ht="43.5" hidden="false" customHeight="true" outlineLevel="0" collapsed="false">
      <c r="A29" s="1"/>
      <c r="B29" s="98" t="s">
        <v>505</v>
      </c>
      <c r="C29" s="99" t="s">
        <v>506</v>
      </c>
      <c r="D29" s="99"/>
      <c r="E29" s="99"/>
      <c r="F29" s="99"/>
      <c r="G29" s="99"/>
      <c r="H29" s="99"/>
      <c r="I29" s="99"/>
      <c r="J29" s="99"/>
      <c r="K29" s="100" t="s">
        <v>507</v>
      </c>
    </row>
    <row r="30" customFormat="false" ht="30.75" hidden="false" customHeight="true" outlineLevel="0" collapsed="false">
      <c r="A30" s="1"/>
      <c r="B30" s="98" t="s">
        <v>508</v>
      </c>
      <c r="C30" s="99" t="s">
        <v>509</v>
      </c>
      <c r="D30" s="99"/>
      <c r="E30" s="99"/>
      <c r="F30" s="99"/>
      <c r="G30" s="99"/>
      <c r="H30" s="99"/>
      <c r="I30" s="99"/>
      <c r="J30" s="99"/>
      <c r="K30" s="100" t="s">
        <v>510</v>
      </c>
    </row>
    <row r="31" customFormat="false" ht="15" hidden="false" customHeight="false" outlineLevel="0" collapsed="false">
      <c r="A31" s="1"/>
      <c r="B31" s="1"/>
      <c r="C31" s="1"/>
      <c r="D31" s="1"/>
      <c r="E31" s="1"/>
      <c r="F31" s="1"/>
      <c r="G31" s="1"/>
      <c r="H31" s="1"/>
      <c r="I31" s="1"/>
      <c r="J31" s="1"/>
      <c r="K31" s="1"/>
    </row>
    <row r="32" customFormat="false" ht="19.5" hidden="false" customHeight="true" outlineLevel="0" collapsed="false">
      <c r="A32" s="1"/>
      <c r="B32" s="14" t="s">
        <v>511</v>
      </c>
      <c r="C32" s="15"/>
      <c r="D32" s="15"/>
      <c r="E32" s="15"/>
      <c r="F32" s="15"/>
      <c r="G32" s="15"/>
      <c r="H32" s="15"/>
      <c r="I32" s="15"/>
      <c r="J32" s="15"/>
      <c r="K32" s="15"/>
    </row>
    <row r="33" customFormat="false" ht="15" hidden="false" customHeight="false" outlineLevel="0" collapsed="false">
      <c r="A33" s="1"/>
      <c r="B33" s="96" t="s">
        <v>454</v>
      </c>
      <c r="C33" s="97" t="s">
        <v>455</v>
      </c>
      <c r="D33" s="97"/>
      <c r="E33" s="97"/>
      <c r="F33" s="97"/>
      <c r="G33" s="97"/>
      <c r="H33" s="97"/>
      <c r="I33" s="97"/>
      <c r="J33" s="97"/>
      <c r="K33" s="96" t="s">
        <v>456</v>
      </c>
    </row>
    <row r="34" customFormat="false" ht="30.75" hidden="false" customHeight="true" outlineLevel="0" collapsed="false">
      <c r="A34" s="1"/>
      <c r="B34" s="98" t="s">
        <v>512</v>
      </c>
      <c r="C34" s="99" t="s">
        <v>513</v>
      </c>
      <c r="D34" s="99"/>
      <c r="E34" s="99"/>
      <c r="F34" s="99"/>
      <c r="G34" s="99"/>
      <c r="H34" s="99"/>
      <c r="I34" s="99"/>
      <c r="J34" s="99"/>
      <c r="K34" s="100" t="s">
        <v>514</v>
      </c>
    </row>
    <row r="35" customFormat="false" ht="30.75" hidden="false" customHeight="true" outlineLevel="0" collapsed="false">
      <c r="A35" s="1"/>
      <c r="B35" s="98" t="s">
        <v>515</v>
      </c>
      <c r="C35" s="99" t="s">
        <v>516</v>
      </c>
      <c r="D35" s="99"/>
      <c r="E35" s="99"/>
      <c r="F35" s="99"/>
      <c r="G35" s="99"/>
      <c r="H35" s="99"/>
      <c r="I35" s="99"/>
      <c r="J35" s="99"/>
      <c r="K35" s="100" t="s">
        <v>517</v>
      </c>
    </row>
    <row r="36" customFormat="false" ht="30.75" hidden="false" customHeight="true" outlineLevel="0" collapsed="false">
      <c r="A36" s="1"/>
      <c r="B36" s="98" t="s">
        <v>518</v>
      </c>
      <c r="C36" s="99" t="s">
        <v>519</v>
      </c>
      <c r="D36" s="99"/>
      <c r="E36" s="99"/>
      <c r="F36" s="99"/>
      <c r="G36" s="99"/>
      <c r="H36" s="99"/>
      <c r="I36" s="99"/>
      <c r="J36" s="99"/>
      <c r="K36" s="100" t="s">
        <v>520</v>
      </c>
    </row>
    <row r="37" customFormat="false" ht="43.5" hidden="false" customHeight="true" outlineLevel="0" collapsed="false">
      <c r="A37" s="1"/>
      <c r="B37" s="98" t="s">
        <v>521</v>
      </c>
      <c r="C37" s="99" t="s">
        <v>522</v>
      </c>
      <c r="D37" s="99"/>
      <c r="E37" s="99"/>
      <c r="F37" s="99"/>
      <c r="G37" s="99"/>
      <c r="H37" s="99"/>
      <c r="I37" s="99"/>
      <c r="J37" s="99"/>
      <c r="K37" s="100" t="s">
        <v>523</v>
      </c>
    </row>
    <row r="38" customFormat="false" ht="30.75" hidden="false" customHeight="true" outlineLevel="0" collapsed="false">
      <c r="A38" s="1"/>
      <c r="B38" s="98" t="s">
        <v>524</v>
      </c>
      <c r="C38" s="99" t="s">
        <v>525</v>
      </c>
      <c r="D38" s="99"/>
      <c r="E38" s="99"/>
      <c r="F38" s="99"/>
      <c r="G38" s="99"/>
      <c r="H38" s="99"/>
      <c r="I38" s="99"/>
      <c r="J38" s="99"/>
      <c r="K38" s="100" t="s">
        <v>526</v>
      </c>
    </row>
    <row r="39" customFormat="false" ht="15" hidden="false" customHeight="false" outlineLevel="0" collapsed="false">
      <c r="A39" s="1"/>
      <c r="B39" s="1"/>
      <c r="C39" s="1"/>
      <c r="D39" s="1"/>
      <c r="E39" s="1"/>
      <c r="F39" s="1"/>
      <c r="G39" s="1"/>
      <c r="H39" s="1"/>
      <c r="I39" s="1"/>
      <c r="J39" s="1"/>
      <c r="K39" s="1"/>
    </row>
    <row r="40" customFormat="false" ht="19.5" hidden="false" customHeight="true" outlineLevel="0" collapsed="false">
      <c r="A40" s="1"/>
      <c r="B40" s="14" t="s">
        <v>527</v>
      </c>
      <c r="C40" s="15"/>
      <c r="D40" s="15"/>
      <c r="E40" s="15"/>
      <c r="F40" s="15"/>
      <c r="G40" s="15"/>
      <c r="H40" s="15"/>
      <c r="I40" s="15"/>
      <c r="J40" s="15"/>
      <c r="K40" s="15"/>
    </row>
    <row r="41" customFormat="false" ht="15" hidden="false" customHeight="false" outlineLevel="0" collapsed="false">
      <c r="A41" s="1"/>
      <c r="B41" s="96" t="s">
        <v>528</v>
      </c>
      <c r="C41" s="97" t="s">
        <v>529</v>
      </c>
      <c r="D41" s="97"/>
      <c r="E41" s="97"/>
      <c r="F41" s="97"/>
      <c r="G41" s="97"/>
      <c r="H41" s="97"/>
      <c r="I41" s="97"/>
      <c r="J41" s="97"/>
      <c r="K41" s="96" t="s">
        <v>456</v>
      </c>
    </row>
    <row r="42" customFormat="false" ht="55.5" hidden="false" customHeight="true" outlineLevel="0" collapsed="false">
      <c r="A42" s="1"/>
      <c r="B42" s="98" t="s">
        <v>530</v>
      </c>
      <c r="C42" s="99" t="s">
        <v>531</v>
      </c>
      <c r="D42" s="99"/>
      <c r="E42" s="99"/>
      <c r="F42" s="99"/>
      <c r="G42" s="99"/>
      <c r="H42" s="99"/>
      <c r="I42" s="99"/>
      <c r="J42" s="99"/>
      <c r="K42" s="100" t="s">
        <v>532</v>
      </c>
    </row>
    <row r="43" customFormat="false" ht="55.5" hidden="false" customHeight="true" outlineLevel="0" collapsed="false">
      <c r="A43" s="1"/>
      <c r="B43" s="98" t="s">
        <v>533</v>
      </c>
      <c r="C43" s="99" t="s">
        <v>534</v>
      </c>
      <c r="D43" s="99"/>
      <c r="E43" s="99"/>
      <c r="F43" s="99"/>
      <c r="G43" s="99"/>
      <c r="H43" s="99"/>
      <c r="I43" s="99"/>
      <c r="J43" s="99"/>
      <c r="K43" s="100" t="s">
        <v>535</v>
      </c>
    </row>
    <row r="44" customFormat="false" ht="43.5" hidden="false" customHeight="true" outlineLevel="0" collapsed="false">
      <c r="A44" s="1"/>
      <c r="B44" s="98" t="s">
        <v>536</v>
      </c>
      <c r="C44" s="99" t="s">
        <v>537</v>
      </c>
      <c r="D44" s="99"/>
      <c r="E44" s="99"/>
      <c r="F44" s="99"/>
      <c r="G44" s="99"/>
      <c r="H44" s="99"/>
      <c r="I44" s="99"/>
      <c r="J44" s="99"/>
      <c r="K44" s="100" t="s">
        <v>538</v>
      </c>
    </row>
    <row r="45" customFormat="false" ht="43.5" hidden="false" customHeight="true" outlineLevel="0" collapsed="false">
      <c r="A45" s="1"/>
      <c r="B45" s="98" t="s">
        <v>539</v>
      </c>
      <c r="C45" s="99" t="s">
        <v>540</v>
      </c>
      <c r="D45" s="99"/>
      <c r="E45" s="99"/>
      <c r="F45" s="99"/>
      <c r="G45" s="99"/>
      <c r="H45" s="99"/>
      <c r="I45" s="99"/>
      <c r="J45" s="99"/>
      <c r="K45" s="100" t="s">
        <v>541</v>
      </c>
    </row>
    <row r="46" customFormat="false" ht="15" hidden="false" customHeight="false" outlineLevel="0" collapsed="false">
      <c r="A46" s="1"/>
      <c r="B46" s="1"/>
      <c r="C46" s="1"/>
      <c r="D46" s="1"/>
      <c r="E46" s="1"/>
      <c r="F46" s="1"/>
      <c r="G46" s="1"/>
      <c r="H46" s="1"/>
      <c r="I46" s="1"/>
      <c r="J46" s="1"/>
      <c r="K46" s="1"/>
    </row>
    <row r="47" customFormat="false" ht="19.5" hidden="false" customHeight="true" outlineLevel="0" collapsed="false">
      <c r="A47" s="1"/>
      <c r="B47" s="14" t="s">
        <v>542</v>
      </c>
      <c r="C47" s="15"/>
      <c r="D47" s="15"/>
      <c r="E47" s="15"/>
      <c r="F47" s="15"/>
      <c r="G47" s="15"/>
      <c r="H47" s="15"/>
      <c r="I47" s="15"/>
      <c r="J47" s="15"/>
      <c r="K47" s="15"/>
    </row>
    <row r="48" customFormat="false" ht="15" hidden="false" customHeight="false" outlineLevel="0" collapsed="false">
      <c r="A48" s="1"/>
      <c r="B48" s="96" t="s">
        <v>454</v>
      </c>
      <c r="C48" s="97" t="s">
        <v>455</v>
      </c>
      <c r="D48" s="97"/>
      <c r="E48" s="97"/>
      <c r="F48" s="97"/>
      <c r="G48" s="97"/>
      <c r="H48" s="97"/>
      <c r="I48" s="97"/>
      <c r="J48" s="97"/>
      <c r="K48" s="96" t="s">
        <v>456</v>
      </c>
    </row>
    <row r="49" customFormat="false" ht="30.75" hidden="false" customHeight="true" outlineLevel="0" collapsed="false">
      <c r="A49" s="1"/>
      <c r="B49" s="98" t="s">
        <v>543</v>
      </c>
      <c r="C49" s="99" t="s">
        <v>544</v>
      </c>
      <c r="D49" s="99"/>
      <c r="E49" s="99"/>
      <c r="F49" s="99"/>
      <c r="G49" s="99"/>
      <c r="H49" s="99"/>
      <c r="I49" s="99"/>
      <c r="J49" s="99"/>
      <c r="K49" s="100" t="s">
        <v>545</v>
      </c>
    </row>
    <row r="50" customFormat="false" ht="30.75" hidden="false" customHeight="true" outlineLevel="0" collapsed="false">
      <c r="A50" s="1"/>
      <c r="B50" s="98" t="s">
        <v>546</v>
      </c>
      <c r="C50" s="99" t="s">
        <v>547</v>
      </c>
      <c r="D50" s="99"/>
      <c r="E50" s="99"/>
      <c r="F50" s="99"/>
      <c r="G50" s="99"/>
      <c r="H50" s="99"/>
      <c r="I50" s="99"/>
      <c r="J50" s="99"/>
      <c r="K50" s="100" t="s">
        <v>548</v>
      </c>
    </row>
  </sheetData>
  <mergeCells count="35">
    <mergeCell ref="C6:J6"/>
    <mergeCell ref="C7:J7"/>
    <mergeCell ref="C8:J8"/>
    <mergeCell ref="C9:J9"/>
    <mergeCell ref="C10:J10"/>
    <mergeCell ref="C11:J11"/>
    <mergeCell ref="C12:J12"/>
    <mergeCell ref="C13:J13"/>
    <mergeCell ref="C16:J16"/>
    <mergeCell ref="C17:J17"/>
    <mergeCell ref="C18:J18"/>
    <mergeCell ref="C19:J19"/>
    <mergeCell ref="C20:J20"/>
    <mergeCell ref="C21:J21"/>
    <mergeCell ref="C22:J22"/>
    <mergeCell ref="C25:J25"/>
    <mergeCell ref="C26:J26"/>
    <mergeCell ref="C27:J27"/>
    <mergeCell ref="C28:J28"/>
    <mergeCell ref="C29:J29"/>
    <mergeCell ref="C30:J30"/>
    <mergeCell ref="C33:J33"/>
    <mergeCell ref="C34:J34"/>
    <mergeCell ref="C35:J35"/>
    <mergeCell ref="C36:J36"/>
    <mergeCell ref="C37:J37"/>
    <mergeCell ref="C38:J38"/>
    <mergeCell ref="C41:J41"/>
    <mergeCell ref="C42:J42"/>
    <mergeCell ref="C43:J43"/>
    <mergeCell ref="C44:J44"/>
    <mergeCell ref="C45:J45"/>
    <mergeCell ref="C48:J48"/>
    <mergeCell ref="C49:J49"/>
    <mergeCell ref="C50:J5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F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
    <col collapsed="false" customWidth="true" hidden="false" outlineLevel="0" max="3" min="3" style="0" width="34"/>
    <col collapsed="false" customWidth="true" hidden="false" outlineLevel="0" max="4" min="4" style="0" width="70"/>
    <col collapsed="false" customWidth="true" hidden="false" outlineLevel="0" max="5" min="5" style="0" width="20"/>
    <col collapsed="false" customWidth="true" hidden="false" outlineLevel="0" max="6" min="6" style="0" width="70"/>
  </cols>
  <sheetData>
    <row r="1" customFormat="false" ht="24" hidden="false" customHeight="true" outlineLevel="0" collapsed="false">
      <c r="A1" s="1"/>
      <c r="B1" s="8" t="s">
        <v>549</v>
      </c>
      <c r="C1" s="1"/>
      <c r="D1" s="1"/>
      <c r="E1" s="1"/>
      <c r="F1" s="1"/>
    </row>
    <row r="2" customFormat="false" ht="15" hidden="false" customHeight="false" outlineLevel="0" collapsed="false">
      <c r="A2" s="1"/>
      <c r="B2" s="9" t="s">
        <v>550</v>
      </c>
      <c r="C2" s="1"/>
      <c r="D2" s="1"/>
      <c r="E2" s="1"/>
      <c r="F2" s="1"/>
    </row>
    <row r="3" customFormat="false" ht="15" hidden="false" customHeight="false" outlineLevel="0" collapsed="false">
      <c r="A3" s="1"/>
      <c r="B3" s="10" t="s">
        <v>23</v>
      </c>
      <c r="C3" s="1"/>
      <c r="D3" s="1"/>
      <c r="E3" s="1"/>
      <c r="F3" s="1"/>
    </row>
    <row r="4" customFormat="false" ht="15" hidden="false" customHeight="false" outlineLevel="0" collapsed="false">
      <c r="A4" s="1"/>
      <c r="B4" s="1"/>
      <c r="C4" s="1"/>
      <c r="D4" s="1"/>
      <c r="E4" s="1"/>
      <c r="F4" s="1"/>
    </row>
    <row r="5" customFormat="false" ht="25.5" hidden="false" customHeight="true" outlineLevel="0" collapsed="false">
      <c r="A5" s="1"/>
      <c r="B5" s="16" t="s">
        <v>551</v>
      </c>
      <c r="C5" s="17" t="s">
        <v>552</v>
      </c>
      <c r="D5" s="17" t="s">
        <v>553</v>
      </c>
      <c r="E5" s="17" t="s">
        <v>554</v>
      </c>
      <c r="F5" s="17" t="s">
        <v>555</v>
      </c>
    </row>
    <row r="6" customFormat="false" ht="30" hidden="false" customHeight="true" outlineLevel="0" collapsed="false">
      <c r="A6" s="1"/>
      <c r="B6" s="101" t="s">
        <v>556</v>
      </c>
      <c r="C6" s="102" t="s">
        <v>557</v>
      </c>
      <c r="D6" s="102" t="s">
        <v>558</v>
      </c>
      <c r="E6" s="102" t="s">
        <v>559</v>
      </c>
      <c r="F6" s="103" t="s">
        <v>560</v>
      </c>
    </row>
    <row r="7" customFormat="false" ht="30" hidden="false" customHeight="true" outlineLevel="0" collapsed="false">
      <c r="A7" s="1"/>
      <c r="B7" s="101" t="s">
        <v>561</v>
      </c>
      <c r="C7" s="102" t="s">
        <v>557</v>
      </c>
      <c r="D7" s="102" t="s">
        <v>562</v>
      </c>
      <c r="E7" s="102" t="s">
        <v>563</v>
      </c>
      <c r="F7" s="103" t="s">
        <v>564</v>
      </c>
    </row>
    <row r="8" customFormat="false" ht="30" hidden="false" customHeight="true" outlineLevel="0" collapsed="false">
      <c r="A8" s="1"/>
      <c r="B8" s="101" t="s">
        <v>565</v>
      </c>
      <c r="C8" s="102" t="s">
        <v>557</v>
      </c>
      <c r="D8" s="102" t="s">
        <v>566</v>
      </c>
      <c r="E8" s="102" t="s">
        <v>567</v>
      </c>
      <c r="F8" s="103" t="s">
        <v>568</v>
      </c>
    </row>
    <row r="9" customFormat="false" ht="30" hidden="false" customHeight="true" outlineLevel="0" collapsed="false">
      <c r="A9" s="1"/>
      <c r="B9" s="101" t="s">
        <v>569</v>
      </c>
      <c r="C9" s="102" t="s">
        <v>570</v>
      </c>
      <c r="D9" s="102" t="s">
        <v>571</v>
      </c>
      <c r="E9" s="102" t="s">
        <v>572</v>
      </c>
      <c r="F9" s="103" t="s">
        <v>573</v>
      </c>
    </row>
    <row r="10" customFormat="false" ht="30" hidden="false" customHeight="true" outlineLevel="0" collapsed="false">
      <c r="A10" s="1"/>
      <c r="B10" s="101" t="s">
        <v>574</v>
      </c>
      <c r="C10" s="102" t="s">
        <v>575</v>
      </c>
      <c r="D10" s="102" t="s">
        <v>576</v>
      </c>
      <c r="E10" s="102" t="s">
        <v>577</v>
      </c>
      <c r="F10" s="103" t="s">
        <v>578</v>
      </c>
    </row>
    <row r="11" customFormat="false" ht="30" hidden="false" customHeight="true" outlineLevel="0" collapsed="false">
      <c r="A11" s="1"/>
      <c r="B11" s="101" t="s">
        <v>579</v>
      </c>
      <c r="C11" s="102" t="s">
        <v>580</v>
      </c>
      <c r="D11" s="102" t="s">
        <v>581</v>
      </c>
      <c r="E11" s="102" t="s">
        <v>582</v>
      </c>
      <c r="F11" s="103" t="s">
        <v>583</v>
      </c>
    </row>
    <row r="12" customFormat="false" ht="30" hidden="false" customHeight="true" outlineLevel="0" collapsed="false">
      <c r="A12" s="1"/>
      <c r="B12" s="101" t="s">
        <v>584</v>
      </c>
      <c r="C12" s="102" t="s">
        <v>580</v>
      </c>
      <c r="D12" s="102" t="s">
        <v>585</v>
      </c>
      <c r="E12" s="102" t="s">
        <v>582</v>
      </c>
      <c r="F12" s="103" t="s">
        <v>586</v>
      </c>
    </row>
    <row r="13" customFormat="false" ht="18" hidden="false" customHeight="true" outlineLevel="0" collapsed="false">
      <c r="A13" s="1"/>
      <c r="B13" s="101" t="s">
        <v>587</v>
      </c>
      <c r="C13" s="102" t="s">
        <v>588</v>
      </c>
      <c r="D13" s="102" t="s">
        <v>589</v>
      </c>
      <c r="E13" s="102" t="s">
        <v>590</v>
      </c>
      <c r="F13" s="103" t="s">
        <v>591</v>
      </c>
    </row>
    <row r="14" customFormat="false" ht="30" hidden="false" customHeight="true" outlineLevel="0" collapsed="false">
      <c r="A14" s="1"/>
      <c r="B14" s="101" t="s">
        <v>592</v>
      </c>
      <c r="C14" s="102" t="s">
        <v>593</v>
      </c>
      <c r="D14" s="102" t="s">
        <v>594</v>
      </c>
      <c r="E14" s="102" t="s">
        <v>595</v>
      </c>
      <c r="F14" s="103" t="s">
        <v>596</v>
      </c>
    </row>
    <row r="15" customFormat="false" ht="30" hidden="false" customHeight="true" outlineLevel="0" collapsed="false">
      <c r="A15" s="1"/>
      <c r="B15" s="101" t="s">
        <v>597</v>
      </c>
      <c r="C15" s="102" t="s">
        <v>598</v>
      </c>
      <c r="D15" s="102" t="s">
        <v>599</v>
      </c>
      <c r="E15" s="102" t="s">
        <v>600</v>
      </c>
      <c r="F15" s="103" t="s">
        <v>601</v>
      </c>
    </row>
    <row r="16" customFormat="false" ht="30" hidden="false" customHeight="true" outlineLevel="0" collapsed="false">
      <c r="A16" s="1"/>
      <c r="B16" s="101" t="s">
        <v>602</v>
      </c>
      <c r="C16" s="102" t="s">
        <v>603</v>
      </c>
      <c r="D16" s="102" t="s">
        <v>604</v>
      </c>
      <c r="E16" s="102" t="s">
        <v>605</v>
      </c>
      <c r="F16" s="103" t="s">
        <v>606</v>
      </c>
    </row>
    <row r="17" customFormat="false" ht="30" hidden="false" customHeight="true" outlineLevel="0" collapsed="false">
      <c r="A17" s="1"/>
      <c r="B17" s="101" t="s">
        <v>607</v>
      </c>
      <c r="C17" s="102" t="s">
        <v>608</v>
      </c>
      <c r="D17" s="102" t="s">
        <v>609</v>
      </c>
      <c r="E17" s="102" t="s">
        <v>610</v>
      </c>
      <c r="F17" s="103" t="s">
        <v>611</v>
      </c>
    </row>
    <row r="18" customFormat="false" ht="30" hidden="false" customHeight="true" outlineLevel="0" collapsed="false">
      <c r="A18" s="1"/>
      <c r="B18" s="101" t="s">
        <v>612</v>
      </c>
      <c r="C18" s="102" t="s">
        <v>613</v>
      </c>
      <c r="D18" s="102" t="s">
        <v>614</v>
      </c>
      <c r="E18" s="102" t="s">
        <v>615</v>
      </c>
      <c r="F18" s="103" t="s">
        <v>616</v>
      </c>
    </row>
    <row r="19" customFormat="false" ht="18" hidden="false" customHeight="true" outlineLevel="0" collapsed="false">
      <c r="A19" s="1"/>
      <c r="B19" s="101" t="s">
        <v>617</v>
      </c>
      <c r="C19" s="102" t="s">
        <v>618</v>
      </c>
      <c r="D19" s="102" t="s">
        <v>619</v>
      </c>
      <c r="E19" s="102" t="s">
        <v>620</v>
      </c>
      <c r="F19" s="103" t="s">
        <v>621</v>
      </c>
    </row>
    <row r="20" customFormat="false" ht="18" hidden="false" customHeight="true" outlineLevel="0" collapsed="false">
      <c r="A20" s="1"/>
      <c r="B20" s="101" t="s">
        <v>622</v>
      </c>
      <c r="C20" s="102" t="s">
        <v>623</v>
      </c>
      <c r="D20" s="102" t="s">
        <v>624</v>
      </c>
      <c r="E20" s="102" t="s">
        <v>625</v>
      </c>
      <c r="F20" s="103" t="s">
        <v>626</v>
      </c>
    </row>
    <row r="21" customFormat="false" ht="30" hidden="false" customHeight="true" outlineLevel="0" collapsed="false">
      <c r="A21" s="1"/>
      <c r="B21" s="101" t="s">
        <v>627</v>
      </c>
      <c r="C21" s="102" t="s">
        <v>628</v>
      </c>
      <c r="D21" s="102" t="s">
        <v>629</v>
      </c>
      <c r="E21" s="102" t="s">
        <v>630</v>
      </c>
      <c r="F21" s="103" t="s">
        <v>631</v>
      </c>
    </row>
    <row r="22" customFormat="false" ht="30" hidden="false" customHeight="true" outlineLevel="0" collapsed="false">
      <c r="A22" s="1"/>
      <c r="B22" s="101" t="s">
        <v>632</v>
      </c>
      <c r="C22" s="102" t="s">
        <v>633</v>
      </c>
      <c r="D22" s="102" t="s">
        <v>634</v>
      </c>
      <c r="E22" s="102" t="s">
        <v>635</v>
      </c>
      <c r="F22" s="103" t="s">
        <v>636</v>
      </c>
    </row>
    <row r="23" customFormat="false" ht="30" hidden="false" customHeight="true" outlineLevel="0" collapsed="false">
      <c r="A23" s="1"/>
      <c r="B23" s="101" t="s">
        <v>637</v>
      </c>
      <c r="C23" s="102" t="s">
        <v>638</v>
      </c>
      <c r="D23" s="102" t="s">
        <v>639</v>
      </c>
      <c r="E23" s="102" t="s">
        <v>640</v>
      </c>
      <c r="F23" s="103" t="s">
        <v>641</v>
      </c>
    </row>
    <row r="24" customFormat="false" ht="30" hidden="false" customHeight="true" outlineLevel="0" collapsed="false">
      <c r="A24" s="1"/>
      <c r="B24" s="101" t="s">
        <v>642</v>
      </c>
      <c r="C24" s="102" t="s">
        <v>643</v>
      </c>
      <c r="D24" s="102" t="s">
        <v>644</v>
      </c>
      <c r="E24" s="102" t="s">
        <v>645</v>
      </c>
      <c r="F24" s="103" t="s">
        <v>646</v>
      </c>
    </row>
    <row r="25" customFormat="false" ht="30" hidden="false" customHeight="true" outlineLevel="0" collapsed="false">
      <c r="A25" s="1"/>
      <c r="B25" s="101" t="s">
        <v>647</v>
      </c>
      <c r="C25" s="102" t="s">
        <v>648</v>
      </c>
      <c r="D25" s="102" t="s">
        <v>649</v>
      </c>
      <c r="E25" s="102" t="s">
        <v>650</v>
      </c>
      <c r="F25" s="103" t="s">
        <v>651</v>
      </c>
    </row>
    <row r="26" customFormat="false" ht="30" hidden="false" customHeight="true" outlineLevel="0" collapsed="false">
      <c r="A26" s="1"/>
      <c r="B26" s="101" t="s">
        <v>652</v>
      </c>
      <c r="C26" s="102" t="s">
        <v>653</v>
      </c>
      <c r="D26" s="102" t="s">
        <v>654</v>
      </c>
      <c r="E26" s="102" t="s">
        <v>655</v>
      </c>
      <c r="F26" s="103" t="s">
        <v>656</v>
      </c>
    </row>
    <row r="27" customFormat="false" ht="30" hidden="false" customHeight="true" outlineLevel="0" collapsed="false">
      <c r="A27" s="1"/>
      <c r="B27" s="101" t="s">
        <v>657</v>
      </c>
      <c r="C27" s="102" t="s">
        <v>658</v>
      </c>
      <c r="D27" s="102" t="s">
        <v>659</v>
      </c>
      <c r="E27" s="102" t="s">
        <v>660</v>
      </c>
      <c r="F27" s="103" t="s">
        <v>661</v>
      </c>
    </row>
    <row r="28" customFormat="false" ht="30" hidden="false" customHeight="true" outlineLevel="0" collapsed="false">
      <c r="A28" s="1"/>
      <c r="B28" s="101" t="s">
        <v>662</v>
      </c>
      <c r="C28" s="102" t="s">
        <v>663</v>
      </c>
      <c r="D28" s="102" t="s">
        <v>664</v>
      </c>
      <c r="E28" s="102" t="s">
        <v>665</v>
      </c>
      <c r="F28" s="103" t="s">
        <v>666</v>
      </c>
    </row>
    <row r="29" customFormat="false" ht="30" hidden="false" customHeight="true" outlineLevel="0" collapsed="false">
      <c r="A29" s="1"/>
      <c r="B29" s="101" t="s">
        <v>667</v>
      </c>
      <c r="C29" s="102" t="s">
        <v>588</v>
      </c>
      <c r="D29" s="102" t="s">
        <v>668</v>
      </c>
      <c r="E29" s="102" t="s">
        <v>590</v>
      </c>
      <c r="F29" s="103" t="s">
        <v>669</v>
      </c>
    </row>
    <row r="30" customFormat="false" ht="30" hidden="false" customHeight="true" outlineLevel="0" collapsed="false">
      <c r="A30" s="1"/>
      <c r="B30" s="101" t="s">
        <v>670</v>
      </c>
      <c r="C30" s="102" t="s">
        <v>580</v>
      </c>
      <c r="D30" s="102" t="s">
        <v>671</v>
      </c>
      <c r="E30" s="102" t="s">
        <v>672</v>
      </c>
      <c r="F30" s="103" t="s">
        <v>673</v>
      </c>
    </row>
    <row r="31" customFormat="false" ht="30" hidden="false" customHeight="true" outlineLevel="0" collapsed="false">
      <c r="A31" s="1"/>
      <c r="B31" s="101" t="s">
        <v>674</v>
      </c>
      <c r="C31" s="102" t="s">
        <v>580</v>
      </c>
      <c r="D31" s="102" t="s">
        <v>675</v>
      </c>
      <c r="E31" s="102" t="s">
        <v>676</v>
      </c>
      <c r="F31" s="103" t="s">
        <v>677</v>
      </c>
    </row>
    <row r="32" customFormat="false" ht="30" hidden="false" customHeight="true" outlineLevel="0" collapsed="false">
      <c r="A32" s="1"/>
      <c r="B32" s="101" t="s">
        <v>678</v>
      </c>
      <c r="C32" s="102" t="s">
        <v>588</v>
      </c>
      <c r="D32" s="102" t="s">
        <v>679</v>
      </c>
      <c r="E32" s="102" t="s">
        <v>590</v>
      </c>
      <c r="F32" s="103" t="s">
        <v>680</v>
      </c>
    </row>
    <row r="33" customFormat="false" ht="30" hidden="false" customHeight="true" outlineLevel="0" collapsed="false">
      <c r="A33" s="1"/>
      <c r="B33" s="101" t="s">
        <v>681</v>
      </c>
      <c r="C33" s="102" t="s">
        <v>682</v>
      </c>
      <c r="D33" s="102" t="s">
        <v>683</v>
      </c>
      <c r="E33" s="102" t="s">
        <v>650</v>
      </c>
      <c r="F33" s="103" t="s">
        <v>684</v>
      </c>
    </row>
    <row r="34" customFormat="false" ht="30" hidden="false" customHeight="true" outlineLevel="0" collapsed="false">
      <c r="A34" s="1"/>
      <c r="B34" s="101" t="s">
        <v>685</v>
      </c>
      <c r="C34" s="102" t="s">
        <v>686</v>
      </c>
      <c r="D34" s="102" t="s">
        <v>687</v>
      </c>
      <c r="E34" s="102" t="s">
        <v>688</v>
      </c>
      <c r="F34" s="103" t="s">
        <v>689</v>
      </c>
    </row>
    <row r="35" customFormat="false" ht="18" hidden="false" customHeight="true" outlineLevel="0" collapsed="false">
      <c r="A35" s="1"/>
      <c r="B35" s="101" t="s">
        <v>690</v>
      </c>
      <c r="C35" s="102" t="s">
        <v>691</v>
      </c>
      <c r="D35" s="102" t="s">
        <v>692</v>
      </c>
      <c r="E35" s="102" t="s">
        <v>693</v>
      </c>
      <c r="F35" s="103" t="s">
        <v>694</v>
      </c>
    </row>
    <row r="36" customFormat="false" ht="18" hidden="false" customHeight="true" outlineLevel="0" collapsed="false">
      <c r="A36" s="1"/>
      <c r="B36" s="101" t="s">
        <v>695</v>
      </c>
      <c r="C36" s="102" t="s">
        <v>691</v>
      </c>
      <c r="D36" s="102" t="s">
        <v>696</v>
      </c>
      <c r="E36" s="102" t="s">
        <v>697</v>
      </c>
      <c r="F36" s="103" t="s">
        <v>698</v>
      </c>
    </row>
    <row r="37" customFormat="false" ht="30" hidden="false" customHeight="true" outlineLevel="0" collapsed="false">
      <c r="A37" s="1"/>
      <c r="B37" s="101" t="s">
        <v>699</v>
      </c>
      <c r="C37" s="102" t="s">
        <v>700</v>
      </c>
      <c r="D37" s="102" t="s">
        <v>701</v>
      </c>
      <c r="E37" s="102" t="s">
        <v>702</v>
      </c>
      <c r="F37" s="103" t="s">
        <v>703</v>
      </c>
    </row>
    <row r="38" customFormat="false" ht="18" hidden="false" customHeight="true" outlineLevel="0" collapsed="false">
      <c r="A38" s="1"/>
      <c r="B38" s="101" t="s">
        <v>704</v>
      </c>
      <c r="C38" s="102" t="s">
        <v>705</v>
      </c>
      <c r="D38" s="102" t="s">
        <v>706</v>
      </c>
      <c r="E38" s="102" t="s">
        <v>707</v>
      </c>
      <c r="F38" s="103" t="s">
        <v>708</v>
      </c>
    </row>
    <row r="39" customFormat="false" ht="30" hidden="false" customHeight="true" outlineLevel="0" collapsed="false">
      <c r="A39" s="1"/>
      <c r="B39" s="101" t="s">
        <v>709</v>
      </c>
      <c r="C39" s="102" t="s">
        <v>710</v>
      </c>
      <c r="D39" s="102" t="s">
        <v>711</v>
      </c>
      <c r="E39" s="102" t="s">
        <v>712</v>
      </c>
      <c r="F39" s="103" t="s">
        <v>713</v>
      </c>
    </row>
    <row r="40" customFormat="false" ht="30" hidden="false" customHeight="true" outlineLevel="0" collapsed="false">
      <c r="A40" s="1"/>
      <c r="B40" s="101" t="s">
        <v>714</v>
      </c>
      <c r="C40" s="102" t="s">
        <v>715</v>
      </c>
      <c r="D40" s="102" t="s">
        <v>716</v>
      </c>
      <c r="E40" s="102" t="s">
        <v>717</v>
      </c>
      <c r="F40" s="103" t="s">
        <v>718</v>
      </c>
    </row>
    <row r="41" customFormat="false" ht="18" hidden="false" customHeight="true" outlineLevel="0" collapsed="false">
      <c r="A41" s="1"/>
      <c r="B41" s="101" t="s">
        <v>719</v>
      </c>
      <c r="C41" s="102" t="s">
        <v>691</v>
      </c>
      <c r="D41" s="102" t="s">
        <v>720</v>
      </c>
      <c r="E41" s="102" t="s">
        <v>721</v>
      </c>
      <c r="F41" s="103" t="s">
        <v>722</v>
      </c>
    </row>
    <row r="42" customFormat="false" ht="30" hidden="false" customHeight="true" outlineLevel="0" collapsed="false">
      <c r="A42" s="1"/>
      <c r="B42" s="101" t="s">
        <v>723</v>
      </c>
      <c r="C42" s="102" t="s">
        <v>724</v>
      </c>
      <c r="D42" s="102" t="s">
        <v>725</v>
      </c>
      <c r="E42" s="102" t="s">
        <v>726</v>
      </c>
      <c r="F42" s="103" t="s">
        <v>727</v>
      </c>
    </row>
    <row r="43" customFormat="false" ht="30" hidden="false" customHeight="true" outlineLevel="0" collapsed="false">
      <c r="A43" s="1"/>
      <c r="B43" s="101" t="s">
        <v>728</v>
      </c>
      <c r="C43" s="102" t="s">
        <v>588</v>
      </c>
      <c r="D43" s="102" t="s">
        <v>729</v>
      </c>
      <c r="E43" s="102" t="s">
        <v>590</v>
      </c>
      <c r="F43" s="103" t="s">
        <v>730</v>
      </c>
    </row>
    <row r="44" customFormat="false" ht="30" hidden="false" customHeight="true" outlineLevel="0" collapsed="false">
      <c r="A44" s="1"/>
      <c r="B44" s="101" t="s">
        <v>731</v>
      </c>
      <c r="C44" s="102" t="s">
        <v>732</v>
      </c>
      <c r="D44" s="102" t="s">
        <v>733</v>
      </c>
      <c r="E44" s="102" t="s">
        <v>734</v>
      </c>
      <c r="F44" s="103" t="s">
        <v>735</v>
      </c>
    </row>
    <row r="45" customFormat="false" ht="18" hidden="false" customHeight="true" outlineLevel="0" collapsed="false">
      <c r="A45" s="1"/>
      <c r="B45" s="101" t="s">
        <v>736</v>
      </c>
      <c r="C45" s="102" t="s">
        <v>737</v>
      </c>
      <c r="D45" s="102" t="s">
        <v>738</v>
      </c>
      <c r="E45" s="102" t="s">
        <v>739</v>
      </c>
      <c r="F45" s="103" t="s">
        <v>740</v>
      </c>
    </row>
    <row r="46" customFormat="false" ht="30" hidden="false" customHeight="true" outlineLevel="0" collapsed="false">
      <c r="A46" s="1"/>
      <c r="B46" s="101" t="s">
        <v>741</v>
      </c>
      <c r="C46" s="102" t="s">
        <v>737</v>
      </c>
      <c r="D46" s="102" t="s">
        <v>742</v>
      </c>
      <c r="E46" s="102" t="s">
        <v>563</v>
      </c>
      <c r="F46" s="103" t="s">
        <v>743</v>
      </c>
    </row>
    <row r="47" customFormat="false" ht="30" hidden="false" customHeight="true" outlineLevel="0" collapsed="false">
      <c r="A47" s="1"/>
      <c r="B47" s="101" t="s">
        <v>744</v>
      </c>
      <c r="C47" s="102" t="s">
        <v>745</v>
      </c>
      <c r="D47" s="102" t="s">
        <v>746</v>
      </c>
      <c r="E47" s="102" t="s">
        <v>747</v>
      </c>
      <c r="F47" s="103" t="s">
        <v>748</v>
      </c>
    </row>
    <row r="48" customFormat="false" ht="18" hidden="false" customHeight="true" outlineLevel="0" collapsed="false">
      <c r="A48" s="1"/>
      <c r="B48" s="101" t="s">
        <v>749</v>
      </c>
      <c r="C48" s="102" t="s">
        <v>750</v>
      </c>
      <c r="D48" s="102" t="s">
        <v>751</v>
      </c>
      <c r="E48" s="102" t="s">
        <v>752</v>
      </c>
      <c r="F48" s="103" t="s">
        <v>753</v>
      </c>
    </row>
    <row r="49" customFormat="false" ht="18" hidden="false" customHeight="true" outlineLevel="0" collapsed="false">
      <c r="A49" s="1"/>
      <c r="B49" s="101" t="s">
        <v>754</v>
      </c>
      <c r="C49" s="102" t="s">
        <v>750</v>
      </c>
      <c r="D49" s="102" t="s">
        <v>755</v>
      </c>
      <c r="E49" s="102" t="s">
        <v>756</v>
      </c>
      <c r="F49" s="103" t="s">
        <v>757</v>
      </c>
    </row>
    <row r="50" customFormat="false" ht="30" hidden="false" customHeight="true" outlineLevel="0" collapsed="false">
      <c r="A50" s="1"/>
      <c r="B50" s="101" t="s">
        <v>758</v>
      </c>
      <c r="C50" s="102" t="s">
        <v>759</v>
      </c>
      <c r="D50" s="102" t="s">
        <v>760</v>
      </c>
      <c r="E50" s="102" t="s">
        <v>761</v>
      </c>
      <c r="F50" s="103" t="s">
        <v>762</v>
      </c>
    </row>
    <row r="51" customFormat="false" ht="30" hidden="false" customHeight="true" outlineLevel="0" collapsed="false">
      <c r="A51" s="1"/>
      <c r="B51" s="101" t="s">
        <v>763</v>
      </c>
      <c r="C51" s="102" t="s">
        <v>764</v>
      </c>
      <c r="D51" s="102" t="s">
        <v>765</v>
      </c>
      <c r="E51" s="102" t="s">
        <v>766</v>
      </c>
      <c r="F51" s="103" t="s">
        <v>767</v>
      </c>
    </row>
    <row r="52" customFormat="false" ht="30" hidden="false" customHeight="true" outlineLevel="0" collapsed="false">
      <c r="A52" s="1"/>
      <c r="B52" s="101" t="s">
        <v>768</v>
      </c>
      <c r="C52" s="102" t="s">
        <v>769</v>
      </c>
      <c r="D52" s="102" t="s">
        <v>770</v>
      </c>
      <c r="E52" s="102" t="s">
        <v>771</v>
      </c>
      <c r="F52" s="103" t="s">
        <v>772</v>
      </c>
    </row>
    <row r="53" customFormat="false" ht="30" hidden="false" customHeight="true" outlineLevel="0" collapsed="false">
      <c r="A53" s="1"/>
      <c r="B53" s="101" t="s">
        <v>773</v>
      </c>
      <c r="C53" s="102" t="s">
        <v>774</v>
      </c>
      <c r="D53" s="102" t="s">
        <v>775</v>
      </c>
      <c r="E53" s="102" t="s">
        <v>776</v>
      </c>
      <c r="F53" s="103" t="s">
        <v>777</v>
      </c>
    </row>
    <row r="54" customFormat="false" ht="30" hidden="false" customHeight="true" outlineLevel="0" collapsed="false">
      <c r="A54" s="1"/>
      <c r="B54" s="101" t="s">
        <v>778</v>
      </c>
      <c r="C54" s="102" t="s">
        <v>779</v>
      </c>
      <c r="D54" s="102" t="s">
        <v>780</v>
      </c>
      <c r="E54" s="102" t="s">
        <v>781</v>
      </c>
      <c r="F54" s="103" t="s">
        <v>782</v>
      </c>
    </row>
    <row r="55" customFormat="false" ht="30" hidden="false" customHeight="true" outlineLevel="0" collapsed="false">
      <c r="A55" s="1"/>
      <c r="B55" s="101" t="s">
        <v>783</v>
      </c>
      <c r="C55" s="102" t="s">
        <v>784</v>
      </c>
      <c r="D55" s="102" t="s">
        <v>785</v>
      </c>
      <c r="E55" s="102" t="s">
        <v>786</v>
      </c>
      <c r="F55" s="103" t="s">
        <v>787</v>
      </c>
    </row>
    <row r="56" customFormat="false" ht="30" hidden="false" customHeight="true" outlineLevel="0" collapsed="false">
      <c r="A56" s="1"/>
      <c r="B56" s="101" t="s">
        <v>788</v>
      </c>
      <c r="C56" s="102" t="s">
        <v>580</v>
      </c>
      <c r="D56" s="102" t="s">
        <v>789</v>
      </c>
      <c r="E56" s="102" t="s">
        <v>790</v>
      </c>
      <c r="F56" s="103" t="s">
        <v>791</v>
      </c>
    </row>
    <row r="57" customFormat="false" ht="30" hidden="false" customHeight="true" outlineLevel="0" collapsed="false">
      <c r="A57" s="1"/>
      <c r="B57" s="101" t="s">
        <v>792</v>
      </c>
      <c r="C57" s="102" t="s">
        <v>682</v>
      </c>
      <c r="D57" s="102" t="s">
        <v>793</v>
      </c>
      <c r="E57" s="102" t="s">
        <v>650</v>
      </c>
      <c r="F57" s="103" t="s">
        <v>794</v>
      </c>
    </row>
    <row r="58" customFormat="false" ht="30" hidden="false" customHeight="true" outlineLevel="0" collapsed="false">
      <c r="A58" s="1"/>
      <c r="B58" s="101" t="s">
        <v>795</v>
      </c>
      <c r="C58" s="102" t="s">
        <v>796</v>
      </c>
      <c r="D58" s="102" t="s">
        <v>797</v>
      </c>
      <c r="E58" s="102" t="s">
        <v>650</v>
      </c>
      <c r="F58" s="103" t="s">
        <v>798</v>
      </c>
    </row>
    <row r="59" customFormat="false" ht="30" hidden="false" customHeight="true" outlineLevel="0" collapsed="false">
      <c r="A59" s="1"/>
      <c r="B59" s="101" t="s">
        <v>799</v>
      </c>
      <c r="C59" s="102" t="s">
        <v>800</v>
      </c>
      <c r="D59" s="102" t="s">
        <v>801</v>
      </c>
      <c r="E59" s="102" t="s">
        <v>802</v>
      </c>
      <c r="F59" s="103" t="s">
        <v>803</v>
      </c>
    </row>
    <row r="60" customFormat="false" ht="30" hidden="false" customHeight="true" outlineLevel="0" collapsed="false">
      <c r="A60" s="1"/>
      <c r="B60" s="101" t="s">
        <v>804</v>
      </c>
      <c r="C60" s="102" t="s">
        <v>805</v>
      </c>
      <c r="D60" s="102" t="s">
        <v>806</v>
      </c>
      <c r="E60" s="102" t="s">
        <v>807</v>
      </c>
      <c r="F60" s="103" t="s">
        <v>808</v>
      </c>
    </row>
    <row r="61" customFormat="false" ht="30" hidden="false" customHeight="true" outlineLevel="0" collapsed="false">
      <c r="A61" s="1"/>
      <c r="B61" s="101" t="s">
        <v>809</v>
      </c>
      <c r="C61" s="102" t="s">
        <v>810</v>
      </c>
      <c r="D61" s="102" t="s">
        <v>811</v>
      </c>
      <c r="E61" s="102" t="s">
        <v>812</v>
      </c>
      <c r="F61" s="103" t="s">
        <v>813</v>
      </c>
    </row>
    <row r="62" customFormat="false" ht="30" hidden="false" customHeight="true" outlineLevel="0" collapsed="false">
      <c r="A62" s="1"/>
      <c r="B62" s="101" t="s">
        <v>814</v>
      </c>
      <c r="C62" s="102" t="s">
        <v>815</v>
      </c>
      <c r="D62" s="102" t="s">
        <v>816</v>
      </c>
      <c r="E62" s="102" t="s">
        <v>817</v>
      </c>
      <c r="F62" s="103" t="s">
        <v>818</v>
      </c>
    </row>
    <row r="63" customFormat="false" ht="30" hidden="false" customHeight="true" outlineLevel="0" collapsed="false">
      <c r="A63" s="1"/>
      <c r="B63" s="101" t="s">
        <v>819</v>
      </c>
      <c r="C63" s="102" t="s">
        <v>710</v>
      </c>
      <c r="D63" s="102" t="s">
        <v>820</v>
      </c>
      <c r="E63" s="102" t="s">
        <v>821</v>
      </c>
      <c r="F63" s="103" t="s">
        <v>822</v>
      </c>
    </row>
    <row r="64" customFormat="false" ht="30" hidden="false" customHeight="true" outlineLevel="0" collapsed="false">
      <c r="A64" s="1"/>
      <c r="B64" s="101" t="s">
        <v>823</v>
      </c>
      <c r="C64" s="102" t="s">
        <v>737</v>
      </c>
      <c r="D64" s="102" t="s">
        <v>824</v>
      </c>
      <c r="E64" s="102" t="s">
        <v>825</v>
      </c>
      <c r="F64" s="103" t="s">
        <v>826</v>
      </c>
    </row>
    <row r="65" customFormat="false" ht="30" hidden="false" customHeight="true" outlineLevel="0" collapsed="false">
      <c r="A65" s="1"/>
      <c r="B65" s="101" t="s">
        <v>827</v>
      </c>
      <c r="C65" s="102" t="s">
        <v>828</v>
      </c>
      <c r="D65" s="102" t="s">
        <v>829</v>
      </c>
      <c r="E65" s="102" t="s">
        <v>830</v>
      </c>
      <c r="F65" s="103" t="s">
        <v>831</v>
      </c>
    </row>
    <row r="66" customFormat="false" ht="15" hidden="false" customHeight="false" outlineLevel="0" collapsed="false">
      <c r="A66" s="1"/>
      <c r="B66" s="1"/>
      <c r="C66" s="1"/>
      <c r="D66" s="1"/>
      <c r="E66" s="1"/>
      <c r="F66" s="1"/>
    </row>
    <row r="67" customFormat="false" ht="30" hidden="false" customHeight="true" outlineLevel="0" collapsed="false">
      <c r="A67" s="1"/>
      <c r="B67" s="73" t="s">
        <v>832</v>
      </c>
      <c r="C67" s="73"/>
      <c r="D67" s="73"/>
      <c r="E67" s="73"/>
      <c r="F67" s="73"/>
    </row>
    <row r="68" customFormat="false" ht="30" hidden="false" customHeight="true" outlineLevel="0" collapsed="false">
      <c r="A68" s="1"/>
      <c r="B68" s="73" t="s">
        <v>833</v>
      </c>
      <c r="C68" s="73"/>
      <c r="D68" s="73"/>
      <c r="E68" s="73"/>
      <c r="F68" s="73"/>
    </row>
  </sheetData>
  <mergeCells count="2">
    <mergeCell ref="B67:F67"/>
    <mergeCell ref="B68:F68"/>
  </mergeCells>
  <hyperlinks>
    <hyperlink ref="F6" r:id="rId1" display="https://www.umih.fr/assets/files/site/ressources/observatoires-et-etudes/Observatoire_mensuel_des_performances_hotelieres_UMIH___GNC_Decembre_2025.pdf"/>
    <hyperlink ref="F7" r:id="rId2" display="https://www.umih.fr/assets/files/site/ressources/observatoires-et-etudes/Observatoire_mensuel_des_performances_hotelieres_UMIH___GNC___Aout_2025.pdf"/>
    <hyperlink ref="F8" r:id="rId3" display="https://www.umih.fr/assets/files/site/ressources/observatoires-et-etudes/Observatoire_mensuel_des_performances_hotelieres_UMIH___GNC_Janvier2025.pdf"/>
    <hyperlink ref="F9" r:id="rId4" display="https://pro.normandie-tourisme.fr/app/uploads/sites/2/2026/04/la-frequentation-dans-lhotellerie-en-2025.pdf"/>
    <hyperlink ref="F10" r:id="rId5" display="https://www.gironde-tourisme.com/espace-pro/wp-content/uploads/sites/2/2026/03/Gironde-Bilan-touristique-2025.pdf"/>
    <hyperlink ref="F11" r:id="rId6" display="https://www.banque-france.fr/system/files/2024-12/fascicule-sectoriel-hebergement-55-2023.pdf"/>
    <hyperlink ref="F12" r:id="rId7" display="https://www.banque-france.fr/system/files/2024-12/fascicule-sectoriel-restauration-56-2023.pdf"/>
    <hyperlink ref="F13" r:id="rId8" display="https://www.keobiz.fr/fiches-pratiques/ratio-masse-salariale-chr/"/>
    <hyperlink ref="F14" r:id="rId9" display="https://www.umih.fr/assets/files/site/medias/l-essentiel-nous-chrd/2026_juillet_aout_L_Essentiel_40.pdf"/>
    <hyperlink ref="F15" r:id="rId10" display="https://www.umih.fr/assets/files/site/medias/communiques-de-presse/2024/240212_CP%20GHR-UMIH%20Energie.pdf"/>
    <hyperlink ref="F16" r:id="rId11" display="https://hospitality-on.com/fr/distribution/distribution-hoteliere-europeenne-le-duopole-booking-expedia-se-fige-les-rapports-de"/>
    <hyperlink ref="F17" r:id="rId12" display="https://www.journaldeleconomie.fr/?p=25192"/>
    <hyperlink ref="F18" r:id="rId13" display="https://www.senat.fr/rap/r17-587/r17-587-syn.pdf"/>
    <hyperlink ref="F19" r:id="rId14" display="https://costar.com/article/1366873980/capex-study-authors-4-reserves-not-enough"/>
    <hyperlink ref="F20" r:id="rId15" display="https://www.info.gouv.fr/actualite/le-smic-revalorise-au-1er-janvier-2026"/>
    <hyperlink ref="F21" r:id="rId16" display="https://www.ffbatiment.fr/actualites-batiment/actualite/augmentation-smic-juin-2026"/>
    <hyperlink ref="F22" r:id="rId17" display="https://www.lhotellerie-restauration.fr/sos-experts/comment-evaluer-la-qualite-d-un-bail-dans-le-cadre-d-une-evaluation"/>
    <hyperlink ref="F23" r:id="rId18" display="https://hospitality-on.com/fr/investisseurs/bpifrance-et-extendam-reunissent-les-banquiers-pour-parler-investissement-hotelier"/>
    <hyperlink ref="F24" r:id="rId19" display="https://www.ifc-expertise.fr/valeurs-de-fonds-de-commerce-dhotellerie-entre-mythes-et-realites/"/>
    <hyperlink ref="F25" r:id="rId20" display="https://www.cushmanwakefield.com/fr-fr/france/insights/paris-marketbeat-hospitality"/>
    <hyperlink ref="F26" r:id="rId21" display="https://www.entreprises.cci-paris-idf.fr/fiches-pratiques/acquisition-dun-fonds-de-commerce-quelles-consequences-fiscales"/>
    <hyperlink ref="F27" r:id="rId22" display="https://www.notaires.fr/fr/immobilier-fiscalite/financement/les-frais-dacquisition"/>
    <hyperlink ref="F28" r:id="rId23" display="https://www.weblex.fr/weblex-actualite/vente-d-immeubles-les-taux-et-exonerations-applicables-au-1er-juin-2026-sont-connus"/>
    <hyperlink ref="F29" r:id="rId24" display="https://www.keobiz.fr/fiches-pratiques/ouvrir-restaurant-hotel/cout-amenagement-chambre-hotel/"/>
    <hyperlink ref="F30" r:id="rId25" display="https://www.banque-france.fr/fr/statistiques/credit/financement-des-entreprises-2026-08"/>
    <hyperlink ref="F31" r:id="rId26" display="https://www.banque-france.fr/system/files/2026-10/Stat_info_Credits_aux_particuliers_202608.pdf"/>
    <hyperlink ref="F32" r:id="rId27" display="https://www.keobiz.fr/fiches-pratiques/ouvrir-restaurant-hotel/financement-immobilier-credit-bail-hotel/"/>
    <hyperlink ref="F33" r:id="rId28" display="https://www.metlife.fr/assurance-emprunteur/pret-professionnel/financement-hotel/"/>
    <hyperlink ref="F34" r:id="rId29" display="https://www.cafpi.fr/pret-professionnel/murs-professionnels/financement-fonds-de-commerce-tout-ce-qu-il-faut-savoir"/>
    <hyperlink ref="F35" r:id="rId30" display="https://entreprendre.service-public.gouv.fr/vosdroits/F23575"/>
    <hyperlink ref="F36" r:id="rId31" display="https://entreprendre.service-public.gouv.fr/vosdroits/F37288"/>
    <hyperlink ref="F37" r:id="rId32" display="https://www.justice.fr/fiche/taux-tva-produits-alimentaires-boissons"/>
    <hyperlink ref="F38" r:id="rId33" display="https://www.entreprises.gouv.fr/fr/tourisme/conseils-strategie/chambres-d-hotes"/>
    <hyperlink ref="F39" r:id="rId34" display="https://www.economie.gouv.fr/dgccrf/les-fiches-pratiques-et-les-faq/chambres-dhotes-quelle-est-la-reglementation-applicable"/>
    <hyperlink ref="F40" r:id="rId35" display="https://www.autoentrepreneur.urssaf.fr/portail/accueil/sinformer-sur-le-statut/lessentiel-du-statut.html"/>
    <hyperlink ref="F41" r:id="rId36" display="https://entreprendre.service-public.gouv.fr/vosdroits/F22379"/>
    <hyperlink ref="F42" r:id="rId37" display="https://www.ghr.fr/reglementation-fiscalite/les-obligations-dans-les-hotels/la-procedure-de-classement-des-hotels-de-tourisme"/>
    <hyperlink ref="F43" r:id="rId38" display="https://www.keobiz.fr/fiches-pratiques/ouvrir-restaurant-hotel/normes-erp-incendie-accessibilite/"/>
    <hyperlink ref="F44" r:id="rId39" display="https://www.economie.gouv.fr/entreprises/gerer-sa-fiscalite-et-ses-impots/autres-impots-et-taxes/taxe-de-sejour-quelles-sont-les"/>
    <hyperlink ref="F45" r:id="rId40" display="https://bpifrance-creation.fr/moment-de-vie/garanties-bancaires-quoi-sagit-il"/>
    <hyperlink ref="F46" r:id="rId41" display="https://bpifrance-creation.fr/encyclopedie/financements/dispositifs-garantie/garanties-bancaires-proposees-france-active"/>
    <hyperlink ref="F47" r:id="rId42" display="https://les-aides.fr/aide/cGU_3w/siagi/garantie-au-cas-par-cas-etude-personnalisee.html"/>
    <hyperlink ref="F48" r:id="rId43" display="https://les-aides.fr/aide/dFVvIEwMDA6P/bpifrance/pret-tourisme-3.html"/>
    <hyperlink ref="F49" r:id="rId44" display="https://les-aides.fr/aide/EBN_ICwMDA6P/bpifrance/garantie-transmission.html"/>
    <hyperlink ref="F50" r:id="rId45" display="https://les-aides.fr/aide/YXA_3w/region-bretagne/pass-investissement-entreprises-touristiques-volet-travaux.html"/>
    <hyperlink ref="F51" r:id="rId46" display="https://adnormandie.fr/wp-content/uploads/2025/11/REGLEMENT-IMP-DEVELOPPEMENT-.pdf"/>
    <hyperlink ref="F52" r:id="rId47" display="https://les-aides.fr/aide/cCGP3w/region-des-pays-de-la-loire/agir-tourisme.html"/>
    <hyperlink ref="F53" r:id="rId48" display="https://les-aides.fr/aide/RjNf3w/region-nouvelle-aquitaine/aide-a-l-hotellerie-independante.html"/>
    <hyperlink ref="F54" r:id="rId49" display="https://www.realestate.bnpparibas.fr/media/france/2026-09/REVIEW%20HOTELLERIE%20-%20T2%202026_FR.pdf"/>
    <hyperlink ref="F55" r:id="rId50" display="https://www.ecb.europa.eu/press/pr/date/2026/html/ecb.mp260910~314e508016.en.html"/>
    <hyperlink ref="F56" r:id="rId51" display="https://www.banque-france.fr/fr/statistiques/entreprises/defaillances-dentreprises-2026-07"/>
    <hyperlink ref="F57" r:id="rId52" display="https://www.metlife.fr/assurance-emprunteur/pret-professionnel/que-regarde-la-banque/"/>
    <hyperlink ref="F58" r:id="rId53" display="https://mktgdocs.cbre.com/2299/be26ab5e-2ab1-44ae-95c6-3b706d129436-2109243007/CBRE_Figures_H_tels_France_T1_.pdf"/>
    <hyperlink ref="F59" r:id="rId54" display="https://www.poitiers.cci.fr/wp-content/uploads/2026/05/2026-permis-dexploiter.pdf"/>
    <hyperlink ref="F60" r:id="rId55" display="https://www.quechoisir.org/actualite-immobilier-les-frais-de-notaire-augmentent-dans-l-ancien-n167712/"/>
    <hyperlink ref="F61" r:id="rId56" display="https://www.pointdevente.fr/fr/actualites/les-frais-caches-lors-de-l-achat-d-un-fonds-de-commerce-a658"/>
    <hyperlink ref="F62" r:id="rId57" display="https://www.pap.fr/vendeur/vendre-sans-agence/vente-immobiliere-les-frais-d-agence-qui-paie-quand-et-combien/a23282"/>
    <hyperlink ref="F63" r:id="rId58" display="https://www.economie.gouv.fr/dgccrf/les-fiches-pratiques/lagent-immobilier-les-regles-qui-encadrent-la-profession"/>
    <hyperlink ref="F64" r:id="rId59" display="https://bpifrance-creation.fr/encyclopedie/fiscalite-lentreprise/fiscalite-transmissionreprise/droits-denregistrement-cas-reprise"/>
    <hyperlink ref="F65" r:id="rId60" display="https://www.service-public.gouv.fr/particuliers/vosdroits/F17701"/>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2026-10-11T22:41:38Z</dcterms:created>
  <dc:creator>openpyxl</dc:creator>
  <dc:description/>
  <dc:language>en-US</dc:language>
  <cp:lastModifiedBy/>
  <dcterms:modified xsi:type="dcterms:W3CDTF">2026-10-11T22:41:39Z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